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연제구건강가정다문화가족지원센터\0. 회계\회계_2023\0. 예산\결산추경\"/>
    </mc:Choice>
  </mc:AlternateContent>
  <bookViews>
    <workbookView xWindow="0" yWindow="0" windowWidth="23145" windowHeight="9345"/>
  </bookViews>
  <sheets>
    <sheet name="총칙" sheetId="1" r:id="rId1"/>
    <sheet name="총괄" sheetId="2" r:id="rId2"/>
    <sheet name="세입" sheetId="3" r:id="rId3"/>
    <sheet name="세출" sheetId="4" r:id="rId4"/>
  </sheets>
  <externalReferences>
    <externalReference r:id="rId5"/>
  </externalReferences>
  <definedNames>
    <definedName name="_xlnm._FilterDatabase" localSheetId="2" hidden="1">세입!$B$5:$AB$69</definedName>
    <definedName name="_xlnm._FilterDatabase" localSheetId="3" hidden="1">세출!$A$4:$X$289</definedName>
    <definedName name="_xlnm._FilterDatabase" localSheetId="1" hidden="1">총괄!$B$5:$D$9</definedName>
    <definedName name="all" localSheetId="2">#REF!</definedName>
    <definedName name="all" localSheetId="3">#REF!</definedName>
    <definedName name="all" localSheetId="1">#REF!</definedName>
    <definedName name="all" localSheetId="0">[1]후원금!#REF!</definedName>
    <definedName name="all">#REF!</definedName>
    <definedName name="_xlnm.Print_Area" localSheetId="2">세입!$A$1:$AB$87</definedName>
    <definedName name="_xlnm.Print_Area" localSheetId="3">세출!$A$1:$X$291</definedName>
    <definedName name="_xlnm.Print_Area" localSheetId="1">총괄!$A$1:$O$46</definedName>
    <definedName name="_xlnm.Print_Area" localSheetId="0">총칙!$A$1:$K$49</definedName>
    <definedName name="_xlnm.Print_Titles" localSheetId="2">세입!$A:$AB,세입!$5:$6</definedName>
    <definedName name="_xlnm.Print_Titles" localSheetId="3">세출!$A:$X,세출!$4:$5</definedName>
    <definedName name="_xlnm.Print_Titles" localSheetId="1">총괄!$A:$E,총괄!$4:$5</definedName>
    <definedName name="개체1" localSheetId="2">#REF!</definedName>
    <definedName name="개체1" localSheetId="3">#REF!</definedName>
    <definedName name="개체1" localSheetId="1">#REF!</definedName>
    <definedName name="개체1" localSheetId="0">#REF!</definedName>
    <definedName name="개체1">#REF!</definedName>
  </definedNames>
  <calcPr calcId="162913"/>
</workbook>
</file>

<file path=xl/calcChain.xml><?xml version="1.0" encoding="utf-8"?>
<calcChain xmlns="http://schemas.openxmlformats.org/spreadsheetml/2006/main">
  <c r="X271" i="4" l="1"/>
  <c r="X108" i="4" l="1"/>
  <c r="X99" i="4"/>
  <c r="X127" i="4"/>
  <c r="X253" i="4" l="1"/>
  <c r="X288" i="4"/>
  <c r="R253" i="4"/>
  <c r="R288" i="4"/>
  <c r="M288" i="4" l="1"/>
  <c r="X289" i="4"/>
  <c r="X137" i="4" l="1"/>
  <c r="X125" i="4"/>
  <c r="R220" i="4"/>
  <c r="M220" i="4" s="1"/>
  <c r="X8" i="4"/>
  <c r="X212" i="4"/>
  <c r="W253" i="4"/>
  <c r="X96" i="4" l="1"/>
  <c r="X94" i="4" s="1"/>
  <c r="W242" i="4"/>
  <c r="V211" i="4"/>
  <c r="R211" i="4"/>
  <c r="X200" i="4" l="1"/>
  <c r="AB39" i="3" l="1"/>
  <c r="AB42" i="3"/>
  <c r="X22" i="4"/>
  <c r="X89" i="4" l="1"/>
  <c r="X87" i="4" s="1"/>
  <c r="X85" i="4"/>
  <c r="X153" i="4"/>
  <c r="X191" i="4"/>
  <c r="X185" i="4"/>
  <c r="X178" i="4"/>
  <c r="X168" i="4" l="1"/>
  <c r="X159" i="4"/>
  <c r="R137" i="4" s="1"/>
  <c r="M137" i="4" s="1"/>
  <c r="E84" i="3"/>
  <c r="E80" i="3" s="1"/>
  <c r="D282" i="4"/>
  <c r="D254" i="4"/>
  <c r="D243" i="4"/>
  <c r="D221" i="4"/>
  <c r="D212" i="4"/>
  <c r="D201" i="4"/>
  <c r="D192" i="4"/>
  <c r="D187" i="4"/>
  <c r="D182" i="4"/>
  <c r="D166" i="4"/>
  <c r="D156" i="4"/>
  <c r="D138" i="4"/>
  <c r="D130" i="4"/>
  <c r="D126" i="4"/>
  <c r="D117" i="4"/>
  <c r="D108" i="4"/>
  <c r="D99" i="4"/>
  <c r="D45" i="4"/>
  <c r="D9" i="4"/>
  <c r="X250" i="4" l="1"/>
  <c r="X247" i="4" l="1"/>
  <c r="R242" i="4" s="1"/>
  <c r="X207" i="4"/>
  <c r="AB81" i="3" l="1"/>
  <c r="F81" i="3" s="1"/>
  <c r="AB26" i="3"/>
  <c r="X26" i="4"/>
  <c r="X58" i="4"/>
  <c r="G81" i="3" l="1"/>
  <c r="X57" i="4"/>
  <c r="X56" i="4"/>
  <c r="X55" i="4"/>
  <c r="X54" i="4"/>
  <c r="X53" i="4"/>
  <c r="X52" i="4"/>
  <c r="X51" i="4"/>
  <c r="X50" i="4"/>
  <c r="X49" i="4"/>
  <c r="X47" i="4"/>
  <c r="X25" i="4"/>
  <c r="X24" i="4"/>
  <c r="X23" i="4"/>
  <c r="X21" i="4"/>
  <c r="X20" i="4"/>
  <c r="X19" i="4"/>
  <c r="X18" i="4"/>
  <c r="X17" i="4"/>
  <c r="X16" i="4"/>
  <c r="X15" i="4"/>
  <c r="X14" i="4"/>
  <c r="X13" i="4"/>
  <c r="X12" i="4"/>
  <c r="X11" i="4"/>
  <c r="X138" i="4" l="1"/>
  <c r="X10" i="4"/>
  <c r="X92" i="4"/>
  <c r="X254" i="4" l="1"/>
  <c r="X220" i="4"/>
  <c r="AB18" i="3"/>
  <c r="X7" i="4" l="1"/>
  <c r="X203" i="4"/>
  <c r="E67" i="3" l="1"/>
  <c r="E61" i="3"/>
  <c r="D289" i="4"/>
  <c r="X76" i="4" l="1"/>
  <c r="X166" i="4" l="1"/>
  <c r="AB63" i="3" l="1"/>
  <c r="D30" i="1" l="1"/>
  <c r="D200" i="4"/>
  <c r="AB61" i="3" l="1"/>
  <c r="X243" i="4"/>
  <c r="AA7" i="4" l="1"/>
  <c r="X31" i="4" l="1"/>
  <c r="AI6" i="4" l="1"/>
  <c r="AK6" i="4" s="1"/>
  <c r="AE6" i="4"/>
  <c r="AK5" i="4" s="1"/>
  <c r="AI4" i="4"/>
  <c r="AK4" i="4" s="1"/>
  <c r="AE5" i="4"/>
  <c r="AK3" i="4" s="1"/>
  <c r="AI2" i="4"/>
  <c r="AK2" i="4" s="1"/>
  <c r="AI5" i="4"/>
  <c r="AG6" i="4" s="1"/>
  <c r="AI3" i="4"/>
  <c r="AG5" i="4" s="1"/>
  <c r="AE4" i="4"/>
  <c r="AG4" i="4" s="1"/>
  <c r="AA4" i="4"/>
  <c r="AC4" i="4" s="1"/>
  <c r="D27" i="1" l="1"/>
  <c r="X74" i="4" l="1"/>
  <c r="X73" i="4"/>
  <c r="X70" i="4"/>
  <c r="X68" i="4"/>
  <c r="X65" i="4"/>
  <c r="X64" i="4" s="1"/>
  <c r="X63" i="4"/>
  <c r="X62" i="4"/>
  <c r="X61" i="4"/>
  <c r="X60" i="4"/>
  <c r="X44" i="4"/>
  <c r="X43" i="4"/>
  <c r="AA6" i="4" s="1"/>
  <c r="AC6" i="4" s="1"/>
  <c r="X38" i="4"/>
  <c r="X37" i="4"/>
  <c r="X35" i="4"/>
  <c r="X34" i="4"/>
  <c r="AE3" i="4" s="1"/>
  <c r="AG3" i="4" s="1"/>
  <c r="X32" i="4"/>
  <c r="X30" i="4"/>
  <c r="X29" i="4"/>
  <c r="X41" i="4"/>
  <c r="AE2" i="4" s="1"/>
  <c r="AG2" i="4" s="1"/>
  <c r="AA3" i="4" l="1"/>
  <c r="AC3" i="4" s="1"/>
  <c r="AA5" i="4"/>
  <c r="AC5" i="4" s="1"/>
  <c r="X36" i="4"/>
  <c r="X40" i="4"/>
  <c r="X72" i="4"/>
  <c r="X42" i="4"/>
  <c r="AB70" i="3"/>
  <c r="M80" i="3" l="1"/>
  <c r="E108" i="4" l="1"/>
  <c r="X126" i="4"/>
  <c r="X130" i="4"/>
  <c r="R125" i="4" s="1"/>
  <c r="AB71" i="3"/>
  <c r="Q70" i="3" s="1"/>
  <c r="M70" i="3" s="1"/>
  <c r="X199" i="4" l="1"/>
  <c r="X206" i="4"/>
  <c r="K13" i="1" l="1"/>
  <c r="K14" i="1"/>
  <c r="F13" i="1"/>
  <c r="F14" i="1"/>
  <c r="Q287" i="4"/>
  <c r="M253" i="4" l="1"/>
  <c r="H253" i="4" s="1"/>
  <c r="Y70" i="3" l="1"/>
  <c r="I70" i="3"/>
  <c r="AB56" i="3"/>
  <c r="AB55" i="3" s="1"/>
  <c r="AB46" i="3"/>
  <c r="AB50" i="3"/>
  <c r="V49" i="3" s="1"/>
  <c r="E32" i="2"/>
  <c r="E55" i="3"/>
  <c r="E45" i="3"/>
  <c r="F28" i="1" l="1"/>
  <c r="D28" i="1" s="1"/>
  <c r="X192" i="4"/>
  <c r="X156" i="4"/>
  <c r="E289" i="4" l="1"/>
  <c r="X287" i="4"/>
  <c r="D288" i="4"/>
  <c r="D287" i="4" s="1"/>
  <c r="R287" i="4"/>
  <c r="E286" i="4"/>
  <c r="E285" i="4" s="1"/>
  <c r="X285" i="4"/>
  <c r="X284" i="4" s="1"/>
  <c r="H284" i="4" s="1"/>
  <c r="D285" i="4"/>
  <c r="D284" i="4" s="1"/>
  <c r="X282" i="4"/>
  <c r="X281" i="4" s="1"/>
  <c r="X210" i="4" s="1"/>
  <c r="E282" i="4"/>
  <c r="M281" i="4"/>
  <c r="D281" i="4"/>
  <c r="D253" i="4"/>
  <c r="E243" i="4"/>
  <c r="G243" i="4" s="1"/>
  <c r="V242" i="4"/>
  <c r="V210" i="4" s="1"/>
  <c r="M242" i="4"/>
  <c r="H242" i="4" s="1"/>
  <c r="D242" i="4"/>
  <c r="X221" i="4"/>
  <c r="E221" i="4" s="1"/>
  <c r="G221" i="4" s="1"/>
  <c r="H220" i="4"/>
  <c r="D220" i="4"/>
  <c r="E212" i="4"/>
  <c r="G212" i="4" s="1"/>
  <c r="M211" i="4"/>
  <c r="H211" i="4" s="1"/>
  <c r="D211" i="4"/>
  <c r="W210" i="4"/>
  <c r="E206" i="4"/>
  <c r="G206" i="4" s="1"/>
  <c r="E203" i="4"/>
  <c r="G203" i="4" s="1"/>
  <c r="X201" i="4"/>
  <c r="R200" i="4" s="1"/>
  <c r="D199" i="4"/>
  <c r="E192" i="4"/>
  <c r="G192" i="4" s="1"/>
  <c r="X187" i="4"/>
  <c r="E187" i="4" s="1"/>
  <c r="G187" i="4" s="1"/>
  <c r="X182" i="4"/>
  <c r="E156" i="4"/>
  <c r="G156" i="4" s="1"/>
  <c r="D137" i="4"/>
  <c r="E126" i="4"/>
  <c r="D125" i="4"/>
  <c r="G108" i="4"/>
  <c r="E99" i="4"/>
  <c r="G99" i="4" s="1"/>
  <c r="X83" i="4"/>
  <c r="X81" i="4"/>
  <c r="X79" i="4"/>
  <c r="X75" i="4" s="1"/>
  <c r="D8" i="4"/>
  <c r="W7" i="4"/>
  <c r="V7" i="4"/>
  <c r="AB84" i="3"/>
  <c r="AB80" i="3" s="1"/>
  <c r="P80" i="3"/>
  <c r="F71" i="3"/>
  <c r="P70" i="3"/>
  <c r="P69" i="3" s="1"/>
  <c r="E70" i="3"/>
  <c r="E69" i="3" s="1"/>
  <c r="AA69" i="3"/>
  <c r="Y69" i="3"/>
  <c r="V69" i="3"/>
  <c r="T69" i="3"/>
  <c r="Q69" i="3"/>
  <c r="M69" i="3"/>
  <c r="AB67" i="3"/>
  <c r="F61" i="3"/>
  <c r="H61" i="3" s="1"/>
  <c r="E60" i="3"/>
  <c r="E59" i="3" s="1"/>
  <c r="AB59" i="3"/>
  <c r="Z59" i="3"/>
  <c r="Y59" i="3"/>
  <c r="V59" i="3"/>
  <c r="V54" i="3" s="1"/>
  <c r="T59" i="3"/>
  <c r="T54" i="3" s="1"/>
  <c r="Q59" i="3"/>
  <c r="Q54" i="3" s="1"/>
  <c r="P59" i="3"/>
  <c r="P54" i="3" s="1"/>
  <c r="M59" i="3"/>
  <c r="M54" i="3" s="1"/>
  <c r="F56" i="3"/>
  <c r="F50" i="3"/>
  <c r="H50" i="3" s="1"/>
  <c r="E49" i="3"/>
  <c r="E44" i="3" s="1"/>
  <c r="F46" i="3"/>
  <c r="H46" i="3" s="1"/>
  <c r="V45" i="3"/>
  <c r="I45" i="3" s="1"/>
  <c r="T44" i="3"/>
  <c r="Q44" i="3"/>
  <c r="P44" i="3"/>
  <c r="M44" i="3"/>
  <c r="F42" i="3"/>
  <c r="G42" i="3" s="1"/>
  <c r="F39" i="3"/>
  <c r="H39" i="3" s="1"/>
  <c r="AB36" i="3"/>
  <c r="F36" i="3" s="1"/>
  <c r="H36" i="3" s="1"/>
  <c r="E17" i="3"/>
  <c r="E16" i="3" s="1"/>
  <c r="AB16" i="3"/>
  <c r="AA16" i="3"/>
  <c r="Z16" i="3"/>
  <c r="Y16" i="3"/>
  <c r="V16" i="3"/>
  <c r="P16" i="3"/>
  <c r="AB14" i="3"/>
  <c r="AB12" i="3"/>
  <c r="F12" i="3" s="1"/>
  <c r="H12" i="3" s="1"/>
  <c r="AB10" i="3"/>
  <c r="E9" i="3"/>
  <c r="E8" i="3" s="1"/>
  <c r="AB8" i="3"/>
  <c r="AA8" i="3"/>
  <c r="V8" i="3"/>
  <c r="T8" i="3"/>
  <c r="Q8" i="3"/>
  <c r="P8" i="3"/>
  <c r="M8" i="3"/>
  <c r="L43" i="2"/>
  <c r="L42" i="2" s="1"/>
  <c r="L41" i="2" s="1"/>
  <c r="H16" i="1" s="1"/>
  <c r="L40" i="2"/>
  <c r="L39" i="2" s="1"/>
  <c r="K40" i="2"/>
  <c r="L38" i="2"/>
  <c r="L37" i="2" s="1"/>
  <c r="L36" i="2"/>
  <c r="L35" i="2" s="1"/>
  <c r="L34" i="2"/>
  <c r="L33" i="2" s="1"/>
  <c r="L32" i="2"/>
  <c r="E31" i="2"/>
  <c r="L29" i="2"/>
  <c r="L28" i="2"/>
  <c r="E28" i="2"/>
  <c r="L27" i="2"/>
  <c r="L24" i="2"/>
  <c r="E24" i="2"/>
  <c r="E23" i="2" s="1"/>
  <c r="E22" i="2" s="1"/>
  <c r="C15" i="1" s="1"/>
  <c r="L23" i="2"/>
  <c r="L22" i="2"/>
  <c r="L21" i="2"/>
  <c r="E21" i="2"/>
  <c r="L20" i="2"/>
  <c r="E20" i="2"/>
  <c r="L19" i="2"/>
  <c r="L17" i="2"/>
  <c r="E17" i="2"/>
  <c r="L16" i="2"/>
  <c r="E16" i="2"/>
  <c r="E15" i="2"/>
  <c r="L14" i="2"/>
  <c r="E14" i="2"/>
  <c r="L13" i="2"/>
  <c r="L12" i="2"/>
  <c r="L11" i="2"/>
  <c r="E11" i="2"/>
  <c r="D11" i="2"/>
  <c r="E10" i="2"/>
  <c r="D10" i="2"/>
  <c r="L9" i="2"/>
  <c r="E9" i="2"/>
  <c r="D29" i="1"/>
  <c r="D26" i="1"/>
  <c r="F25" i="1"/>
  <c r="D25" i="1" s="1"/>
  <c r="F24" i="1"/>
  <c r="D24" i="1" s="1"/>
  <c r="F23" i="1"/>
  <c r="D23" i="1" s="1"/>
  <c r="E22" i="1"/>
  <c r="J15" i="1"/>
  <c r="J14" i="1"/>
  <c r="J13" i="1"/>
  <c r="F10" i="3" l="1"/>
  <c r="Y9" i="3"/>
  <c r="X6" i="4"/>
  <c r="D22" i="1"/>
  <c r="F84" i="3"/>
  <c r="I80" i="3"/>
  <c r="W6" i="4"/>
  <c r="E254" i="4"/>
  <c r="G254" i="4" s="1"/>
  <c r="R199" i="4"/>
  <c r="X117" i="4"/>
  <c r="E117" i="4" s="1"/>
  <c r="E182" i="4"/>
  <c r="G182" i="4" s="1"/>
  <c r="F9" i="2"/>
  <c r="H9" i="2" s="1"/>
  <c r="H10" i="3"/>
  <c r="H71" i="3"/>
  <c r="F31" i="2"/>
  <c r="H31" i="2" s="1"/>
  <c r="F282" i="4"/>
  <c r="F281" i="4" s="1"/>
  <c r="G282" i="4"/>
  <c r="F289" i="4"/>
  <c r="M16" i="2"/>
  <c r="O16" i="2" s="1"/>
  <c r="G126" i="4"/>
  <c r="E201" i="4"/>
  <c r="G201" i="4" s="1"/>
  <c r="H281" i="4"/>
  <c r="F26" i="3"/>
  <c r="F15" i="2" s="1"/>
  <c r="H15" i="2" s="1"/>
  <c r="Q17" i="3"/>
  <c r="Q16" i="3" s="1"/>
  <c r="Q7" i="3" s="1"/>
  <c r="F18" i="3"/>
  <c r="M17" i="3"/>
  <c r="M43" i="2"/>
  <c r="E30" i="2"/>
  <c r="E29" i="2" s="1"/>
  <c r="C17" i="1" s="1"/>
  <c r="F22" i="1"/>
  <c r="F192" i="4"/>
  <c r="M24" i="2"/>
  <c r="E242" i="4"/>
  <c r="G242" i="4" s="1"/>
  <c r="M36" i="2"/>
  <c r="X46" i="4"/>
  <c r="H287" i="4"/>
  <c r="M40" i="2"/>
  <c r="D7" i="4"/>
  <c r="X28" i="4"/>
  <c r="D210" i="4"/>
  <c r="V6" i="4"/>
  <c r="E281" i="4"/>
  <c r="G281" i="4" s="1"/>
  <c r="M12" i="2"/>
  <c r="N12" i="2" s="1"/>
  <c r="F99" i="4"/>
  <c r="F108" i="4"/>
  <c r="M13" i="2"/>
  <c r="X33" i="4"/>
  <c r="X67" i="4"/>
  <c r="E138" i="4"/>
  <c r="G138" i="4" s="1"/>
  <c r="X59" i="4"/>
  <c r="E166" i="4"/>
  <c r="H285" i="4"/>
  <c r="L8" i="2"/>
  <c r="L18" i="2"/>
  <c r="L26" i="2"/>
  <c r="L25" i="2" s="1"/>
  <c r="H11" i="1" s="1"/>
  <c r="AA60" i="3"/>
  <c r="I60" i="3" s="1"/>
  <c r="I59" i="3" s="1"/>
  <c r="I49" i="3"/>
  <c r="I44" i="3" s="1"/>
  <c r="E27" i="2"/>
  <c r="E26" i="2" s="1"/>
  <c r="E25" i="2" s="1"/>
  <c r="F67" i="3"/>
  <c r="E19" i="2"/>
  <c r="E18" i="2" s="1"/>
  <c r="C12" i="1" s="1"/>
  <c r="Y8" i="3"/>
  <c r="Y7" i="3" s="1"/>
  <c r="E8" i="2"/>
  <c r="E7" i="2" s="1"/>
  <c r="E13" i="2"/>
  <c r="E12" i="2" s="1"/>
  <c r="C11" i="1" s="1"/>
  <c r="E211" i="4"/>
  <c r="G211" i="4" s="1"/>
  <c r="F212" i="4"/>
  <c r="F211" i="4" s="1"/>
  <c r="M32" i="2"/>
  <c r="F16" i="2"/>
  <c r="H16" i="2" s="1"/>
  <c r="G36" i="3"/>
  <c r="G16" i="2" s="1"/>
  <c r="F27" i="2"/>
  <c r="G61" i="3"/>
  <c r="G27" i="2" s="1"/>
  <c r="G12" i="3"/>
  <c r="G10" i="2" s="1"/>
  <c r="F10" i="2"/>
  <c r="H10" i="2" s="1"/>
  <c r="G39" i="3"/>
  <c r="G17" i="2" s="1"/>
  <c r="F17" i="2"/>
  <c r="H17" i="2" s="1"/>
  <c r="E284" i="4"/>
  <c r="F285" i="4"/>
  <c r="F284" i="4" s="1"/>
  <c r="F221" i="4"/>
  <c r="F220" i="4" s="1"/>
  <c r="M34" i="2"/>
  <c r="O34" i="2" s="1"/>
  <c r="E220" i="4"/>
  <c r="G220" i="4" s="1"/>
  <c r="M210" i="4"/>
  <c r="F45" i="3"/>
  <c r="H45" i="3" s="1"/>
  <c r="F20" i="2"/>
  <c r="H20" i="2" s="1"/>
  <c r="G46" i="3"/>
  <c r="G20" i="2" s="1"/>
  <c r="E14" i="1" s="1"/>
  <c r="F55" i="3"/>
  <c r="G56" i="3"/>
  <c r="G24" i="2" s="1"/>
  <c r="G23" i="2" s="1"/>
  <c r="F24" i="2"/>
  <c r="F70" i="3"/>
  <c r="H70" i="3" s="1"/>
  <c r="G71" i="3"/>
  <c r="G31" i="2" s="1"/>
  <c r="F187" i="4"/>
  <c r="M23" i="2"/>
  <c r="M28" i="2"/>
  <c r="F203" i="4"/>
  <c r="F49" i="3"/>
  <c r="G50" i="3"/>
  <c r="G21" i="2" s="1"/>
  <c r="F21" i="2"/>
  <c r="H21" i="2" s="1"/>
  <c r="E54" i="3"/>
  <c r="E7" i="3" s="1"/>
  <c r="M20" i="2"/>
  <c r="F156" i="4"/>
  <c r="M29" i="2"/>
  <c r="F206" i="4"/>
  <c r="L15" i="2"/>
  <c r="L31" i="2"/>
  <c r="L30" i="2" s="1"/>
  <c r="H12" i="1" s="1"/>
  <c r="G10" i="3"/>
  <c r="F126" i="4"/>
  <c r="F243" i="4"/>
  <c r="F242" i="4" s="1"/>
  <c r="F286" i="4"/>
  <c r="E288" i="4"/>
  <c r="R210" i="4"/>
  <c r="T17" i="3"/>
  <c r="T16" i="3" s="1"/>
  <c r="T7" i="3" s="1"/>
  <c r="H288" i="4"/>
  <c r="F14" i="3"/>
  <c r="H14" i="3" s="1"/>
  <c r="M8" i="4" l="1"/>
  <c r="R8" i="4"/>
  <c r="H84" i="3"/>
  <c r="F80" i="3"/>
  <c r="F69" i="3" s="1"/>
  <c r="X45" i="4"/>
  <c r="E45" i="4" s="1"/>
  <c r="G84" i="3"/>
  <c r="AA2" i="4"/>
  <c r="AC2" i="4" s="1"/>
  <c r="E253" i="4"/>
  <c r="G253" i="4" s="1"/>
  <c r="F254" i="4"/>
  <c r="F253" i="4" s="1"/>
  <c r="F210" i="4" s="1"/>
  <c r="M38" i="2"/>
  <c r="O38" i="2" s="1"/>
  <c r="M22" i="2"/>
  <c r="O22" i="2" s="1"/>
  <c r="D6" i="4"/>
  <c r="L6" i="2" s="1"/>
  <c r="F182" i="4"/>
  <c r="X9" i="4"/>
  <c r="E9" i="4" s="1"/>
  <c r="G9" i="4" s="1"/>
  <c r="H80" i="3"/>
  <c r="F32" i="2"/>
  <c r="H32" i="2" s="1"/>
  <c r="G9" i="2"/>
  <c r="F60" i="3"/>
  <c r="H60" i="3" s="1"/>
  <c r="H67" i="3"/>
  <c r="H27" i="2"/>
  <c r="G49" i="3"/>
  <c r="H49" i="3"/>
  <c r="F23" i="2"/>
  <c r="H24" i="2"/>
  <c r="N16" i="2"/>
  <c r="M27" i="2"/>
  <c r="O27" i="2" s="1"/>
  <c r="F201" i="4"/>
  <c r="E200" i="4"/>
  <c r="G200" i="4" s="1"/>
  <c r="F166" i="4"/>
  <c r="G166" i="4"/>
  <c r="F17" i="3"/>
  <c r="H17" i="3" s="1"/>
  <c r="G26" i="3"/>
  <c r="G15" i="2" s="1"/>
  <c r="H26" i="3"/>
  <c r="G18" i="3"/>
  <c r="G14" i="2" s="1"/>
  <c r="H18" i="3"/>
  <c r="F14" i="2"/>
  <c r="H14" i="2" s="1"/>
  <c r="M42" i="2"/>
  <c r="O43" i="2"/>
  <c r="M39" i="2"/>
  <c r="O39" i="2" s="1"/>
  <c r="O40" i="2"/>
  <c r="N29" i="2"/>
  <c r="O29" i="2"/>
  <c r="M35" i="2"/>
  <c r="O35" i="2" s="1"/>
  <c r="O36" i="2"/>
  <c r="N28" i="2"/>
  <c r="O28" i="2"/>
  <c r="N23" i="2"/>
  <c r="O23" i="2"/>
  <c r="N20" i="2"/>
  <c r="O20" i="2"/>
  <c r="M31" i="2"/>
  <c r="O31" i="2" s="1"/>
  <c r="O32" i="2"/>
  <c r="N24" i="2"/>
  <c r="O24" i="2"/>
  <c r="F117" i="4"/>
  <c r="G117" i="4"/>
  <c r="N13" i="2"/>
  <c r="O13" i="2"/>
  <c r="C10" i="1"/>
  <c r="E6" i="2"/>
  <c r="E130" i="4"/>
  <c r="E125" i="4" s="1"/>
  <c r="M125" i="4"/>
  <c r="H125" i="4" s="1"/>
  <c r="N43" i="2"/>
  <c r="I9" i="3"/>
  <c r="I8" i="3" s="1"/>
  <c r="AA59" i="3"/>
  <c r="AA7" i="3" s="1"/>
  <c r="I69" i="3"/>
  <c r="AB69" i="3"/>
  <c r="M14" i="2"/>
  <c r="N14" i="2" s="1"/>
  <c r="L7" i="2"/>
  <c r="H10" i="1" s="1"/>
  <c r="H9" i="1" s="1"/>
  <c r="N36" i="2"/>
  <c r="N40" i="2"/>
  <c r="M21" i="2"/>
  <c r="H137" i="4"/>
  <c r="M200" i="4"/>
  <c r="H200" i="4" s="1"/>
  <c r="V44" i="3"/>
  <c r="V7" i="3" s="1"/>
  <c r="C16" i="1"/>
  <c r="F28" i="2"/>
  <c r="G67" i="3"/>
  <c r="G28" i="2" s="1"/>
  <c r="M16" i="3"/>
  <c r="M7" i="3" s="1"/>
  <c r="N32" i="2"/>
  <c r="G45" i="3"/>
  <c r="F44" i="3"/>
  <c r="G14" i="3"/>
  <c r="G11" i="2" s="1"/>
  <c r="F11" i="2"/>
  <c r="E287" i="4"/>
  <c r="F288" i="4"/>
  <c r="F54" i="3"/>
  <c r="G55" i="3"/>
  <c r="N34" i="2"/>
  <c r="M33" i="2"/>
  <c r="O33" i="2" s="1"/>
  <c r="F9" i="3"/>
  <c r="H9" i="3" s="1"/>
  <c r="E137" i="4"/>
  <c r="M19" i="2"/>
  <c r="O19" i="2" s="1"/>
  <c r="F138" i="4"/>
  <c r="G70" i="3"/>
  <c r="AB54" i="3"/>
  <c r="I55" i="3"/>
  <c r="I54" i="3" s="1"/>
  <c r="F19" i="2"/>
  <c r="H19" i="2" s="1"/>
  <c r="H210" i="4"/>
  <c r="G80" i="3" l="1"/>
  <c r="H8" i="4"/>
  <c r="E210" i="4"/>
  <c r="G210" i="4" s="1"/>
  <c r="M37" i="2"/>
  <c r="O37" i="2" s="1"/>
  <c r="N38" i="2"/>
  <c r="N37" i="2" s="1"/>
  <c r="N22" i="2"/>
  <c r="G45" i="4"/>
  <c r="G137" i="4"/>
  <c r="G32" i="2"/>
  <c r="G60" i="3"/>
  <c r="F59" i="3"/>
  <c r="G59" i="3" s="1"/>
  <c r="G8" i="2"/>
  <c r="F16" i="3"/>
  <c r="H16" i="3" s="1"/>
  <c r="M26" i="2"/>
  <c r="M25" i="2" s="1"/>
  <c r="N27" i="2"/>
  <c r="N26" i="2" s="1"/>
  <c r="N25" i="2" s="1"/>
  <c r="F200" i="4"/>
  <c r="E199" i="4"/>
  <c r="F199" i="4" s="1"/>
  <c r="G17" i="3"/>
  <c r="F13" i="2"/>
  <c r="H13" i="2" s="1"/>
  <c r="G69" i="3"/>
  <c r="H69" i="3"/>
  <c r="G54" i="3"/>
  <c r="F22" i="2"/>
  <c r="H23" i="2"/>
  <c r="F26" i="2"/>
  <c r="F25" i="2" s="1"/>
  <c r="H28" i="2"/>
  <c r="F8" i="2"/>
  <c r="F7" i="2" s="1"/>
  <c r="H7" i="2" s="1"/>
  <c r="H11" i="2"/>
  <c r="G44" i="3"/>
  <c r="H44" i="3"/>
  <c r="F287" i="4"/>
  <c r="F137" i="4"/>
  <c r="N21" i="2"/>
  <c r="O21" i="2"/>
  <c r="M41" i="2"/>
  <c r="O42" i="2"/>
  <c r="G125" i="4"/>
  <c r="G130" i="4"/>
  <c r="F130" i="4"/>
  <c r="F125" i="4" s="1"/>
  <c r="M17" i="2"/>
  <c r="O17" i="2" s="1"/>
  <c r="N31" i="2"/>
  <c r="N42" i="2"/>
  <c r="N41" i="2" s="1"/>
  <c r="N35" i="2"/>
  <c r="N33" i="2"/>
  <c r="N39" i="2"/>
  <c r="C9" i="1"/>
  <c r="M199" i="4"/>
  <c r="H199" i="4" s="1"/>
  <c r="M9" i="2"/>
  <c r="AB7" i="3"/>
  <c r="I7" i="3" s="1"/>
  <c r="F30" i="2"/>
  <c r="H30" i="2" s="1"/>
  <c r="F9" i="4"/>
  <c r="R7" i="4"/>
  <c r="I17" i="3"/>
  <c r="I16" i="3" s="1"/>
  <c r="F8" i="3"/>
  <c r="G9" i="3"/>
  <c r="M18" i="2"/>
  <c r="O18" i="2" s="1"/>
  <c r="N19" i="2"/>
  <c r="G19" i="2"/>
  <c r="E13" i="1" s="1"/>
  <c r="F18" i="2"/>
  <c r="H18" i="2" s="1"/>
  <c r="H8" i="3" l="1"/>
  <c r="F7" i="3"/>
  <c r="R6" i="4"/>
  <c r="H59" i="3"/>
  <c r="M30" i="2"/>
  <c r="I12" i="1" s="1"/>
  <c r="K12" i="1" s="1"/>
  <c r="F45" i="4"/>
  <c r="E8" i="4"/>
  <c r="E7" i="4" s="1"/>
  <c r="E6" i="4" s="1"/>
  <c r="M11" i="2"/>
  <c r="M8" i="2" s="1"/>
  <c r="O26" i="2"/>
  <c r="G16" i="3"/>
  <c r="F12" i="2"/>
  <c r="H12" i="2" s="1"/>
  <c r="G13" i="2"/>
  <c r="G199" i="4"/>
  <c r="D16" i="1"/>
  <c r="F16" i="1" s="1"/>
  <c r="H26" i="2"/>
  <c r="H8" i="2"/>
  <c r="G25" i="2"/>
  <c r="H25" i="2"/>
  <c r="G26" i="2"/>
  <c r="E16" i="1" s="1"/>
  <c r="G22" i="2"/>
  <c r="E15" i="1" s="1"/>
  <c r="D15" i="1"/>
  <c r="G7" i="2"/>
  <c r="E10" i="1" s="1"/>
  <c r="D10" i="1"/>
  <c r="F10" i="1" s="1"/>
  <c r="F8" i="4"/>
  <c r="F7" i="4" s="1"/>
  <c r="N30" i="2"/>
  <c r="I16" i="1"/>
  <c r="O41" i="2"/>
  <c r="I11" i="1"/>
  <c r="O25" i="2"/>
  <c r="M15" i="2"/>
  <c r="O15" i="2" s="1"/>
  <c r="N17" i="2"/>
  <c r="N15" i="2" s="1"/>
  <c r="N9" i="2"/>
  <c r="O9" i="2"/>
  <c r="N18" i="2"/>
  <c r="F29" i="2"/>
  <c r="G30" i="2"/>
  <c r="G8" i="3"/>
  <c r="G18" i="2"/>
  <c r="E12" i="1" s="1"/>
  <c r="D12" i="1"/>
  <c r="F12" i="1" s="1"/>
  <c r="M7" i="4"/>
  <c r="M6" i="4" s="1"/>
  <c r="H7" i="4" l="1"/>
  <c r="H6" i="4" s="1"/>
  <c r="F6" i="4"/>
  <c r="O30" i="2"/>
  <c r="G8" i="4"/>
  <c r="O11" i="2"/>
  <c r="N11" i="2"/>
  <c r="N8" i="2" s="1"/>
  <c r="N7" i="2" s="1"/>
  <c r="D11" i="1"/>
  <c r="F11" i="1" s="1"/>
  <c r="G12" i="2"/>
  <c r="E11" i="1" s="1"/>
  <c r="F6" i="2"/>
  <c r="H6" i="2" s="1"/>
  <c r="H29" i="2"/>
  <c r="J12" i="1"/>
  <c r="G7" i="3"/>
  <c r="H7" i="3"/>
  <c r="K11" i="1"/>
  <c r="J11" i="1"/>
  <c r="K16" i="1"/>
  <c r="J16" i="1"/>
  <c r="M7" i="2"/>
  <c r="I10" i="1" s="1"/>
  <c r="J10" i="1" s="1"/>
  <c r="O8" i="2"/>
  <c r="G7" i="4"/>
  <c r="G29" i="2"/>
  <c r="E17" i="1" s="1"/>
  <c r="D17" i="1"/>
  <c r="F17" i="1" s="1"/>
  <c r="M6" i="2" l="1"/>
  <c r="I9" i="1" s="1"/>
  <c r="K9" i="1" s="1"/>
  <c r="G6" i="4"/>
  <c r="O7" i="2"/>
  <c r="G6" i="2"/>
  <c r="E9" i="1" s="1"/>
  <c r="D9" i="1"/>
  <c r="F9" i="1" s="1"/>
  <c r="K10" i="1"/>
  <c r="N6" i="2" l="1"/>
  <c r="J9" i="1" s="1"/>
  <c r="O6" i="2"/>
</calcChain>
</file>

<file path=xl/comments1.xml><?xml version="1.0" encoding="utf-8"?>
<comments xmlns="http://schemas.openxmlformats.org/spreadsheetml/2006/main">
  <authors>
    <author>user</author>
  </authors>
  <commentList>
    <comment ref="AB5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동행</t>
        </r>
        <r>
          <rPr>
            <sz val="9"/>
            <color indexed="81"/>
            <rFont val="Tahoma"/>
            <family val="2"/>
          </rPr>
          <t xml:space="preserve"> 42,000,000
</t>
        </r>
        <r>
          <rPr>
            <sz val="9"/>
            <color indexed="81"/>
            <rFont val="돋움"/>
            <family val="3"/>
            <charset val="129"/>
          </rPr>
          <t>마사회</t>
        </r>
        <r>
          <rPr>
            <sz val="9"/>
            <color indexed="81"/>
            <rFont val="Tahoma"/>
            <family val="2"/>
          </rPr>
          <t xml:space="preserve"> 3.000.000
</t>
        </r>
        <r>
          <rPr>
            <sz val="9"/>
            <color indexed="81"/>
            <rFont val="돋움"/>
            <family val="3"/>
            <charset val="129"/>
          </rPr>
          <t>밀알</t>
        </r>
        <r>
          <rPr>
            <sz val="9"/>
            <color indexed="81"/>
            <rFont val="Tahoma"/>
            <family val="2"/>
          </rPr>
          <t xml:space="preserve"> 97,000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희망</t>
        </r>
        <r>
          <rPr>
            <sz val="9"/>
            <color indexed="81"/>
            <rFont val="Tahoma"/>
            <family val="2"/>
          </rPr>
          <t xml:space="preserve"> 25,000,000</t>
        </r>
      </text>
    </comment>
    <comment ref="AB74" authorId="0" shapeId="0">
      <text>
        <r>
          <rPr>
            <b/>
            <sz val="11"/>
            <color indexed="81"/>
            <rFont val="Tahoma"/>
            <family val="2"/>
          </rPr>
          <t>user: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돋움"/>
            <family val="3"/>
            <charset val="129"/>
          </rPr>
          <t>보조금
건가</t>
        </r>
        <r>
          <rPr>
            <sz val="11"/>
            <color indexed="81"/>
            <rFont val="Tahoma"/>
            <family val="2"/>
          </rPr>
          <t xml:space="preserve"> 2</t>
        </r>
        <r>
          <rPr>
            <sz val="11"/>
            <color indexed="81"/>
            <rFont val="돋움"/>
            <family val="3"/>
            <charset val="129"/>
          </rPr>
          <t>원
다문화</t>
        </r>
        <r>
          <rPr>
            <sz val="11"/>
            <color indexed="81"/>
            <rFont val="Tahoma"/>
            <family val="2"/>
          </rPr>
          <t xml:space="preserve"> 3</t>
        </r>
        <r>
          <rPr>
            <sz val="11"/>
            <color indexed="81"/>
            <rFont val="돋움"/>
            <family val="3"/>
            <charset val="129"/>
          </rPr>
          <t>원</t>
        </r>
        <r>
          <rPr>
            <sz val="11"/>
            <color indexed="81"/>
            <rFont val="돋움"/>
            <family val="3"/>
            <charset val="129"/>
          </rPr>
          <t xml:space="preserve">
</t>
        </r>
      </text>
    </comment>
    <comment ref="AB78" authorId="0" shapeId="0">
      <text>
        <r>
          <rPr>
            <b/>
            <sz val="11"/>
            <color indexed="81"/>
            <rFont val="Tahoma"/>
            <family val="2"/>
          </rPr>
          <t>user:</t>
        </r>
        <r>
          <rPr>
            <sz val="11"/>
            <color indexed="81"/>
            <rFont val="Tahoma"/>
            <family val="2"/>
          </rPr>
          <t xml:space="preserve">
35: </t>
        </r>
        <r>
          <rPr>
            <sz val="11"/>
            <color indexed="81"/>
            <rFont val="돋움"/>
            <family val="3"/>
            <charset val="129"/>
          </rPr>
          <t>수익사업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현장실습</t>
        </r>
        <r>
          <rPr>
            <sz val="11"/>
            <color indexed="81"/>
            <rFont val="Tahoma"/>
            <family val="2"/>
          </rPr>
          <t xml:space="preserve">
308: </t>
        </r>
        <r>
          <rPr>
            <sz val="11"/>
            <color indexed="81"/>
            <rFont val="돋움"/>
            <family val="3"/>
            <charset val="129"/>
          </rPr>
          <t xml:space="preserve">일학습
</t>
        </r>
        <r>
          <rPr>
            <sz val="11"/>
            <color indexed="81"/>
            <rFont val="Tahoma"/>
            <family val="2"/>
          </rPr>
          <t xml:space="preserve">175: </t>
        </r>
        <r>
          <rPr>
            <sz val="11"/>
            <color indexed="81"/>
            <rFont val="돋움"/>
            <family val="3"/>
            <charset val="129"/>
          </rPr>
          <t>공육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수익</t>
        </r>
      </text>
    </comment>
    <comment ref="AB79" authorId="0" shapeId="0">
      <text>
        <r>
          <rPr>
            <b/>
            <sz val="11"/>
            <color indexed="81"/>
            <rFont val="Tahoma"/>
            <family val="2"/>
          </rPr>
          <t>user: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돋움"/>
            <family val="3"/>
            <charset val="129"/>
          </rPr>
          <t>자부담통장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G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여비</t>
        </r>
        <r>
          <rPr>
            <sz val="9"/>
            <color indexed="81"/>
            <rFont val="Tahoma"/>
            <family val="2"/>
          </rPr>
          <t xml:space="preserve"> 200,000 </t>
        </r>
        <r>
          <rPr>
            <sz val="9"/>
            <color indexed="81"/>
            <rFont val="돋움"/>
            <family val="3"/>
            <charset val="129"/>
          </rPr>
          <t>나머지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공공</t>
        </r>
      </text>
    </comment>
    <comment ref="X12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3,500,000 </t>
        </r>
        <r>
          <rPr>
            <sz val="9"/>
            <color indexed="81"/>
            <rFont val="돋움"/>
            <family val="3"/>
            <charset val="129"/>
          </rPr>
          <t>홍보물품</t>
        </r>
      </text>
    </comment>
    <comment ref="X15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구희은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여비</t>
        </r>
        <r>
          <rPr>
            <sz val="9"/>
            <color indexed="81"/>
            <rFont val="Tahoma"/>
            <family val="2"/>
          </rPr>
          <t xml:space="preserve"> 50,000
</t>
        </r>
        <r>
          <rPr>
            <sz val="9"/>
            <color indexed="81"/>
            <rFont val="돋움"/>
            <family val="3"/>
            <charset val="129"/>
          </rPr>
          <t>김재오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여비</t>
        </r>
        <r>
          <rPr>
            <sz val="9"/>
            <color indexed="81"/>
            <rFont val="Tahoma"/>
            <family val="2"/>
          </rPr>
          <t xml:space="preserve"> 145,470</t>
        </r>
      </text>
    </comment>
    <comment ref="X19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1,3</t>
        </r>
        <r>
          <rPr>
            <sz val="9"/>
            <color indexed="81"/>
            <rFont val="돋움"/>
            <family val="3"/>
            <charset val="129"/>
          </rPr>
          <t>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워크샵</t>
        </r>
        <r>
          <rPr>
            <sz val="9"/>
            <color indexed="81"/>
            <rFont val="Tahoma"/>
            <family val="2"/>
          </rPr>
          <t xml:space="preserve"> 1,400,000</t>
        </r>
        <r>
          <rPr>
            <sz val="9"/>
            <color indexed="81"/>
            <rFont val="돋움"/>
            <family val="3"/>
            <charset val="129"/>
          </rPr>
          <t>원
평가회</t>
        </r>
        <r>
          <rPr>
            <sz val="9"/>
            <color indexed="81"/>
            <rFont val="Tahoma"/>
            <family val="2"/>
          </rPr>
          <t xml:space="preserve"> 1,040,000</t>
        </r>
        <r>
          <rPr>
            <sz val="9"/>
            <color indexed="81"/>
            <rFont val="돋움"/>
            <family val="3"/>
            <charset val="129"/>
          </rPr>
          <t>원</t>
        </r>
      </text>
    </comment>
    <comment ref="X20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무전기</t>
        </r>
        <r>
          <rPr>
            <sz val="9"/>
            <color indexed="81"/>
            <rFont val="Tahoma"/>
            <family val="2"/>
          </rPr>
          <t xml:space="preserve"> 1,392,300</t>
        </r>
        <r>
          <rPr>
            <sz val="9"/>
            <color indexed="81"/>
            <rFont val="돋움"/>
            <family val="3"/>
            <charset val="129"/>
          </rPr>
          <t>원
노트북</t>
        </r>
        <r>
          <rPr>
            <sz val="9"/>
            <color indexed="81"/>
            <rFont val="Tahoma"/>
            <family val="2"/>
          </rPr>
          <t xml:space="preserve"> 1,540,000</t>
        </r>
        <r>
          <rPr>
            <sz val="9"/>
            <color indexed="81"/>
            <rFont val="돋움"/>
            <family val="3"/>
            <charset val="129"/>
          </rPr>
          <t xml:space="preserve">원
</t>
        </r>
        <r>
          <rPr>
            <sz val="9"/>
            <color indexed="81"/>
            <rFont val="Tahoma"/>
            <family val="2"/>
          </rPr>
          <t>MS</t>
        </r>
        <r>
          <rPr>
            <sz val="9"/>
            <color indexed="81"/>
            <rFont val="돋움"/>
            <family val="3"/>
            <charset val="129"/>
          </rPr>
          <t>오피스</t>
        </r>
        <r>
          <rPr>
            <sz val="9"/>
            <color indexed="81"/>
            <rFont val="Tahoma"/>
            <family val="2"/>
          </rPr>
          <t xml:space="preserve"> 2,970,000</t>
        </r>
        <r>
          <rPr>
            <sz val="9"/>
            <color indexed="81"/>
            <rFont val="돋움"/>
            <family val="3"/>
            <charset val="129"/>
          </rPr>
          <t>원</t>
        </r>
      </text>
    </comment>
    <comment ref="X275" authorId="0" shapeId="0">
      <text>
        <r>
          <rPr>
            <b/>
            <sz val="11"/>
            <color indexed="81"/>
            <rFont val="Tahoma"/>
            <family val="2"/>
          </rPr>
          <t>user: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돋움"/>
            <family val="3"/>
            <charset val="129"/>
          </rPr>
          <t>보조금</t>
        </r>
        <r>
          <rPr>
            <sz val="11"/>
            <color indexed="81"/>
            <rFont val="Tahoma"/>
            <family val="2"/>
          </rPr>
          <t xml:space="preserve"> 1,897,220
</t>
        </r>
        <r>
          <rPr>
            <sz val="11"/>
            <color indexed="81"/>
            <rFont val="돋움"/>
            <family val="3"/>
            <charset val="129"/>
          </rPr>
          <t>사업수입</t>
        </r>
        <r>
          <rPr>
            <sz val="11"/>
            <color indexed="81"/>
            <rFont val="Tahoma"/>
            <family val="2"/>
          </rPr>
          <t xml:space="preserve"> 8,760,000
</t>
        </r>
        <r>
          <rPr>
            <sz val="11"/>
            <color indexed="81"/>
            <rFont val="돋움"/>
            <family val="3"/>
            <charset val="129"/>
          </rPr>
          <t>전년도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이월</t>
        </r>
        <r>
          <rPr>
            <sz val="11"/>
            <color indexed="81"/>
            <rFont val="Tahoma"/>
            <family val="2"/>
          </rPr>
          <t xml:space="preserve"> 702,849
</t>
        </r>
        <r>
          <rPr>
            <sz val="11"/>
            <color indexed="81"/>
            <rFont val="돋움"/>
            <family val="3"/>
            <charset val="129"/>
          </rPr>
          <t>통장</t>
        </r>
        <r>
          <rPr>
            <sz val="11"/>
            <color indexed="81"/>
            <rFont val="Tahoma"/>
            <family val="2"/>
          </rPr>
          <t xml:space="preserve"> 146</t>
        </r>
      </text>
    </comment>
  </commentList>
</comments>
</file>

<file path=xl/sharedStrings.xml><?xml version="1.0" encoding="utf-8"?>
<sst xmlns="http://schemas.openxmlformats.org/spreadsheetml/2006/main" count="806" uniqueCount="385">
  <si>
    <t>가족친화프로그램-다하나가족축제</t>
  </si>
  <si>
    <t xml:space="preserve">   공동육아나눔터-이용료수입</t>
  </si>
  <si>
    <t>부모역할지원-생애주기별 부모교육</t>
  </si>
  <si>
    <t xml:space="preserve">   결혼이민자 역량강화 지원사업</t>
  </si>
  <si>
    <t>다문화가족나눔봉사단-가족봉사단</t>
  </si>
  <si>
    <t xml:space="preserve">   전년도이월금(현장실습수입)</t>
  </si>
  <si>
    <t xml:space="preserve">   건가다가 통합서비스 지원사업</t>
  </si>
  <si>
    <t>찾아가는 결혼이민자 다이음사업</t>
  </si>
  <si>
    <t>부모역할지원-가족유형별 부모교육</t>
  </si>
  <si>
    <t>2020년 연제구건강가정다문화가족지원센터 세출예산서(안)</t>
  </si>
  <si>
    <t>2021년 연제구건강가정다문화가족지원센터 세출예산서(안)</t>
  </si>
  <si>
    <t>산     출     내     역     (  단 위 : 원  )</t>
  </si>
  <si>
    <t>공동육아(보+사)</t>
  </si>
  <si>
    <t>공동육아나눔터지원사업</t>
  </si>
  <si>
    <t xml:space="preserve">   기타예금이자수입</t>
  </si>
  <si>
    <t>가족역량강화지원</t>
  </si>
  <si>
    <t>다문화가족사례관리</t>
  </si>
  <si>
    <t>수용비 및 수수료</t>
  </si>
  <si>
    <t>사회복지 현장실습</t>
  </si>
  <si>
    <t>일학습병행 사업</t>
  </si>
  <si>
    <t xml:space="preserve">   일학습병행 수입</t>
  </si>
  <si>
    <t xml:space="preserve"> 1. 예산요지</t>
  </si>
  <si>
    <t>종사자 복지포인트</t>
  </si>
  <si>
    <t>법인전입금(후원금)</t>
  </si>
  <si>
    <t>전입금 및 기타</t>
  </si>
  <si>
    <t>과        목</t>
  </si>
  <si>
    <t xml:space="preserve">   전년도이월금</t>
  </si>
  <si>
    <t xml:space="preserve"> 증감
(B-A) </t>
  </si>
  <si>
    <t>제수당 - 효도휴가비</t>
  </si>
  <si>
    <t>공동육아나눔터지원</t>
  </si>
  <si>
    <t>운영위원회활동비</t>
  </si>
  <si>
    <t xml:space="preserve">   기타보조금</t>
  </si>
  <si>
    <t>예비비 및 기타</t>
  </si>
  <si>
    <t>다문화가족 사례관리</t>
  </si>
  <si>
    <t>인사위원회활동비</t>
  </si>
  <si>
    <t>일학습병행 
사업수입</t>
  </si>
  <si>
    <t>다문화가족자녀성장지원</t>
  </si>
  <si>
    <t>결혼이민자 역량강화</t>
  </si>
  <si>
    <t>자원개발 및 관리</t>
  </si>
  <si>
    <t>(세입,세출 총괄)</t>
  </si>
  <si>
    <t>전년도이월금(후원금)</t>
  </si>
  <si>
    <t>제수당 - 연차수당</t>
  </si>
  <si>
    <t>기타예금이자수입</t>
  </si>
  <si>
    <t>기타예금이자
수입</t>
  </si>
  <si>
    <t>회의비</t>
  </si>
  <si>
    <t>제수당</t>
  </si>
  <si>
    <t>사업명</t>
  </si>
  <si>
    <t>전입금</t>
  </si>
  <si>
    <t>홍보</t>
  </si>
  <si>
    <t>이월금</t>
  </si>
  <si>
    <t>계</t>
  </si>
  <si>
    <t>국고</t>
  </si>
  <si>
    <t>=</t>
  </si>
  <si>
    <t>항</t>
  </si>
  <si>
    <t>목</t>
  </si>
  <si>
    <t>예비비</t>
  </si>
  <si>
    <t>×</t>
  </si>
  <si>
    <t>시설비</t>
  </si>
  <si>
    <t>팀원</t>
  </si>
  <si>
    <t>차량비</t>
  </si>
  <si>
    <t>후원금</t>
  </si>
  <si>
    <t>지방비</t>
  </si>
  <si>
    <t>관</t>
  </si>
  <si>
    <t>기본급</t>
  </si>
  <si>
    <t>반환금</t>
  </si>
  <si>
    <t>여비</t>
  </si>
  <si>
    <t>잡지출</t>
  </si>
  <si>
    <t>국비</t>
  </si>
  <si>
    <t>에스원</t>
  </si>
  <si>
    <t>잡수입</t>
  </si>
  <si>
    <t>사업비</t>
  </si>
  <si>
    <t>사무비</t>
  </si>
  <si>
    <t>급여</t>
  </si>
  <si>
    <t>`</t>
  </si>
  <si>
    <t>인건비</t>
  </si>
  <si>
    <t>2022년 연제구가족센터 세입·세출예산(안)</t>
  </si>
  <si>
    <t>상하수도요금</t>
  </si>
  <si>
    <t>지역협의체</t>
  </si>
  <si>
    <t>센터 홍보사업</t>
  </si>
  <si>
    <t>학습정서지원</t>
  </si>
  <si>
    <t>다함께프로그램</t>
  </si>
  <si>
    <t>비지정후원금</t>
  </si>
  <si>
    <t>사회보험부담</t>
  </si>
  <si>
    <t>재산조성비</t>
  </si>
  <si>
    <t>사회보험부담금</t>
  </si>
  <si>
    <t>차량정비유지비</t>
  </si>
  <si>
    <t>가족돌봄</t>
  </si>
  <si>
    <t>전화요금</t>
  </si>
  <si>
    <t xml:space="preserve">  3호봉</t>
  </si>
  <si>
    <t>생활도움지원</t>
  </si>
  <si>
    <t>기관협약</t>
  </si>
  <si>
    <t>제세공과금</t>
  </si>
  <si>
    <t>시설장비유지비</t>
  </si>
  <si>
    <t>기타운영비</t>
  </si>
  <si>
    <t>가족생활</t>
  </si>
  <si>
    <t>가족품앗이</t>
  </si>
  <si>
    <t>공공요금</t>
  </si>
  <si>
    <t>퇴직적립금</t>
  </si>
  <si>
    <t>가족관계</t>
  </si>
  <si>
    <t>보조금수입</t>
  </si>
  <si>
    <t>차량유류대</t>
  </si>
  <si>
    <t>운영위원회</t>
  </si>
  <si>
    <t>수용비및수수료</t>
  </si>
  <si>
    <t>사업수입</t>
  </si>
  <si>
    <t xml:space="preserve">  1) 세입</t>
  </si>
  <si>
    <t>후원금수입</t>
  </si>
  <si>
    <t>자산취득비</t>
  </si>
  <si>
    <t>상시프로그램</t>
  </si>
  <si>
    <t>기타공공요금</t>
  </si>
  <si>
    <t>직원 2명</t>
  </si>
  <si>
    <t>세입총계</t>
  </si>
  <si>
    <t>직원 1명</t>
  </si>
  <si>
    <t>자동차보험료</t>
  </si>
  <si>
    <t>세출총계</t>
  </si>
  <si>
    <t>(세 입)</t>
  </si>
  <si>
    <t>가족사랑의날</t>
  </si>
  <si>
    <t xml:space="preserve">  2) 세출</t>
  </si>
  <si>
    <t>기타후생경비</t>
  </si>
  <si>
    <t>시군구보조금</t>
  </si>
  <si>
    <t>전기요금</t>
  </si>
  <si>
    <t>연차수당</t>
  </si>
  <si>
    <t>기타보조금</t>
  </si>
  <si>
    <t>한국어교육</t>
  </si>
  <si>
    <t>기관운영비</t>
  </si>
  <si>
    <t>시외여비</t>
  </si>
  <si>
    <t>초등돌봄</t>
  </si>
  <si>
    <t>공유냉장고</t>
  </si>
  <si>
    <t>소  계</t>
  </si>
  <si>
    <t>세출 총계</t>
  </si>
  <si>
    <t>일반운영비</t>
  </si>
  <si>
    <t>시내출장</t>
  </si>
  <si>
    <t>집기구입비</t>
  </si>
  <si>
    <t>공동육아</t>
  </si>
  <si>
    <t>정수기렌탈료</t>
  </si>
  <si>
    <t>업무추진비</t>
  </si>
  <si>
    <t>지정후원금</t>
  </si>
  <si>
    <t>(단위:천원)</t>
  </si>
  <si>
    <t>경제적서비스</t>
  </si>
  <si>
    <t>(세 출)</t>
  </si>
  <si>
    <t>과목
(관)</t>
  </si>
  <si>
    <t>인터넷요금</t>
  </si>
  <si>
    <t>이용료수입</t>
  </si>
  <si>
    <t>기타수용비</t>
  </si>
  <si>
    <t>보조금(계)</t>
  </si>
  <si>
    <t>현장실습비</t>
  </si>
  <si>
    <t>시도보조금</t>
  </si>
  <si>
    <t>가족역량</t>
  </si>
  <si>
    <t>국고보조금</t>
  </si>
  <si>
    <t>기타잡수입</t>
  </si>
  <si>
    <t>가족상담</t>
  </si>
  <si>
    <t>전년도이월금</t>
  </si>
  <si>
    <t xml:space="preserve"> 사업수입</t>
  </si>
  <si>
    <t>기타수수료</t>
  </si>
  <si>
    <t>%(B/A)</t>
  </si>
  <si>
    <t>세입 총계</t>
  </si>
  <si>
    <t>일학습 사업</t>
  </si>
  <si>
    <t>팀원-2호봉</t>
  </si>
  <si>
    <t>법인전입금</t>
  </si>
  <si>
    <t>심리정서지원</t>
  </si>
  <si>
    <t>관리인력</t>
  </si>
  <si>
    <t>사무용품구입비</t>
  </si>
  <si>
    <t xml:space="preserve">정액급식비 </t>
  </si>
  <si>
    <t>가족정서지원</t>
  </si>
  <si>
    <t>세          출</t>
  </si>
  <si>
    <t>가족친화프로그램-부산가족축제</t>
  </si>
  <si>
    <t>결혼이민자 역량강화 지원사업</t>
  </si>
  <si>
    <t>다문화가족 이중언어환경조성</t>
  </si>
  <si>
    <t>가족과 함께하는 지역공동체</t>
  </si>
  <si>
    <t>잡(사업)지출 
및 이월금</t>
  </si>
  <si>
    <t>세          입</t>
  </si>
  <si>
    <t>공동육아나눔터 관리(소독등)</t>
  </si>
  <si>
    <t xml:space="preserve">   공동육아나눔터지원사업</t>
  </si>
  <si>
    <t>공동육아나눔터 홍보사업</t>
  </si>
  <si>
    <t>건가다가 통합서비스 지원</t>
  </si>
  <si>
    <t xml:space="preserve"> 2. 각 사업별 보조금</t>
  </si>
  <si>
    <t>가족상담전문인력1-3호봉</t>
  </si>
  <si>
    <t>맞벌이가정 일가정양립지원</t>
  </si>
  <si>
    <t>부부역할지원-부부집단상담</t>
  </si>
  <si>
    <t xml:space="preserve"> 3. 전 후 대비 예산비교</t>
  </si>
  <si>
    <t>전년도이월금
(후원금)</t>
  </si>
  <si>
    <t xml:space="preserve">   다문화가족 사례관리사업</t>
  </si>
  <si>
    <t xml:space="preserve">   전년도이월금(후원금)</t>
  </si>
  <si>
    <t>다문화가족 사례관리사업</t>
  </si>
  <si>
    <t xml:space="preserve">   전년도이월금-공동육아나눔터 이용료수입</t>
  </si>
  <si>
    <t>방임(보호)아동·청소년원가정기능회복</t>
    <phoneticPr fontId="20" type="noConversion"/>
  </si>
  <si>
    <t>방임보호아동청소년</t>
    <phoneticPr fontId="20" type="noConversion"/>
  </si>
  <si>
    <t>팀원-1호봉</t>
    <phoneticPr fontId="20" type="noConversion"/>
  </si>
  <si>
    <t>직원 1명</t>
    <phoneticPr fontId="20" type="noConversion"/>
  </si>
  <si>
    <t>회의 진행비</t>
    <phoneticPr fontId="20" type="noConversion"/>
  </si>
  <si>
    <t>×</t>
    <phoneticPr fontId="20" type="noConversion"/>
  </si>
  <si>
    <t>네트워크 구축(기관방문 및 협약 등)</t>
    <phoneticPr fontId="20" type="noConversion"/>
  </si>
  <si>
    <t>다문화가족 사례관리(심리˙정서)</t>
    <phoneticPr fontId="20" type="noConversion"/>
  </si>
  <si>
    <t>방임(보호)아동·청소년원가정기능회복지원사업</t>
    <phoneticPr fontId="20" type="noConversion"/>
  </si>
  <si>
    <t>잡수입</t>
    <phoneticPr fontId="20" type="noConversion"/>
  </si>
  <si>
    <t>기관운영비</t>
    <phoneticPr fontId="20" type="noConversion"/>
  </si>
  <si>
    <t xml:space="preserve"> 비지정후원금</t>
    <phoneticPr fontId="20" type="noConversion"/>
  </si>
  <si>
    <t xml:space="preserve">   비지정후원금예금이자수입</t>
    <phoneticPr fontId="20" type="noConversion"/>
  </si>
  <si>
    <t xml:space="preserve">   기타예금이자수입</t>
    <phoneticPr fontId="20" type="noConversion"/>
  </si>
  <si>
    <t xml:space="preserve"> 법인전입금(후원금)</t>
    <phoneticPr fontId="20" type="noConversion"/>
  </si>
  <si>
    <t xml:space="preserve">   법인전입금예금이자수입(후원금)</t>
    <phoneticPr fontId="20" type="noConversion"/>
  </si>
  <si>
    <t>-</t>
    <phoneticPr fontId="20" type="noConversion"/>
  </si>
  <si>
    <t>%(B/A)</t>
    <phoneticPr fontId="20" type="noConversion"/>
  </si>
  <si>
    <t>%(B/A)</t>
    <phoneticPr fontId="20" type="noConversion"/>
  </si>
  <si>
    <t>%(B/A)</t>
    <phoneticPr fontId="20" type="noConversion"/>
  </si>
  <si>
    <t>직원피복비</t>
    <phoneticPr fontId="20" type="noConversion"/>
  </si>
  <si>
    <t xml:space="preserve">   지정후원금예금이자수입</t>
    <phoneticPr fontId="20" type="noConversion"/>
  </si>
  <si>
    <t>다문화가족 특성화_이중언어가족환경 조성</t>
    <phoneticPr fontId="20" type="noConversion"/>
  </si>
  <si>
    <t>이중언어</t>
    <phoneticPr fontId="20" type="noConversion"/>
  </si>
  <si>
    <t>지원인력</t>
    <phoneticPr fontId="20" type="noConversion"/>
  </si>
  <si>
    <t xml:space="preserve">               14호봉</t>
    <phoneticPr fontId="20" type="noConversion"/>
  </si>
  <si>
    <t>팀장1-8호봉</t>
    <phoneticPr fontId="20" type="noConversion"/>
  </si>
  <si>
    <t>가족상담전문인력2-1호봉</t>
    <phoneticPr fontId="20" type="noConversion"/>
  </si>
  <si>
    <t>행정인력-2호봉</t>
    <phoneticPr fontId="20" type="noConversion"/>
  </si>
  <si>
    <t>팀원1-4호봉</t>
    <phoneticPr fontId="20" type="noConversion"/>
  </si>
  <si>
    <t xml:space="preserve">  5호봉</t>
    <phoneticPr fontId="20" type="noConversion"/>
  </si>
  <si>
    <t>팀원2-3호봉</t>
    <phoneticPr fontId="20" type="noConversion"/>
  </si>
  <si>
    <t xml:space="preserve">  4호봉</t>
    <phoneticPr fontId="20" type="noConversion"/>
  </si>
  <si>
    <t>팀원-5호봉</t>
    <phoneticPr fontId="20" type="noConversion"/>
  </si>
  <si>
    <t>팀원-3호봉</t>
    <phoneticPr fontId="20" type="noConversion"/>
  </si>
  <si>
    <t>팀원-3호봉</t>
    <phoneticPr fontId="20" type="noConversion"/>
  </si>
  <si>
    <t xml:space="preserve">        4호봉 </t>
    <phoneticPr fontId="20" type="noConversion"/>
  </si>
  <si>
    <t>센터장-22호봉</t>
    <phoneticPr fontId="20" type="noConversion"/>
  </si>
  <si>
    <t>총괄팀장-13호봉</t>
    <phoneticPr fontId="20" type="noConversion"/>
  </si>
  <si>
    <t>선임팀원-5호봉</t>
    <phoneticPr fontId="20" type="noConversion"/>
  </si>
  <si>
    <t>팀장2-6호봉</t>
    <phoneticPr fontId="20" type="noConversion"/>
  </si>
  <si>
    <t>팀원1-4호봉</t>
    <phoneticPr fontId="20" type="noConversion"/>
  </si>
  <si>
    <t xml:space="preserve">  5호봉</t>
    <phoneticPr fontId="20" type="noConversion"/>
  </si>
  <si>
    <t>팀원-5호봉</t>
    <phoneticPr fontId="20" type="noConversion"/>
  </si>
  <si>
    <t>다문화가족 특성화_이중언어가족환경 조성</t>
    <phoneticPr fontId="20" type="noConversion"/>
  </si>
  <si>
    <t>지원인력</t>
    <phoneticPr fontId="20" type="noConversion"/>
  </si>
  <si>
    <t>가족교육 지원</t>
    <phoneticPr fontId="20" type="noConversion"/>
  </si>
  <si>
    <t xml:space="preserve">   이중언어가족환경 조성</t>
    <phoneticPr fontId="20" type="noConversion"/>
  </si>
  <si>
    <t xml:space="preserve">   지정후원금</t>
    <phoneticPr fontId="20" type="noConversion"/>
  </si>
  <si>
    <t>법인전입금 후원금 사업운영</t>
    <phoneticPr fontId="20" type="noConversion"/>
  </si>
  <si>
    <t>결혼이민자정착단계별 지원패키지</t>
    <phoneticPr fontId="20" type="noConversion"/>
  </si>
  <si>
    <t>후원금</t>
    <phoneticPr fontId="20" type="noConversion"/>
  </si>
  <si>
    <t>다문화가족 특성화_다문화가족 사례관리 지원</t>
    <phoneticPr fontId="20" type="noConversion"/>
  </si>
  <si>
    <t>전년도후원금</t>
    <phoneticPr fontId="20" type="noConversion"/>
  </si>
  <si>
    <t>실습비+전년도실습</t>
    <phoneticPr fontId="20" type="noConversion"/>
  </si>
  <si>
    <t xml:space="preserve">   전년도이월금(일학습)</t>
    <phoneticPr fontId="20" type="noConversion"/>
  </si>
  <si>
    <t>2023년 연제구가족센터 세입예산서(안)</t>
    <phoneticPr fontId="20" type="noConversion"/>
  </si>
  <si>
    <t>2023년 연제구가족센터 세출예산서(안)</t>
    <phoneticPr fontId="20" type="noConversion"/>
  </si>
  <si>
    <t>2023년 연제구가족센터 세입·세출예산(안)</t>
    <phoneticPr fontId="20" type="noConversion"/>
  </si>
  <si>
    <t>잡지출</t>
    <phoneticPr fontId="20" type="noConversion"/>
  </si>
  <si>
    <t>이중언어가족환경 조성</t>
    <phoneticPr fontId="20" type="noConversion"/>
  </si>
  <si>
    <t>기타보조금</t>
    <phoneticPr fontId="20" type="noConversion"/>
  </si>
  <si>
    <t>건가다가</t>
    <phoneticPr fontId="20" type="noConversion"/>
  </si>
  <si>
    <t>현재 세출 작성된 금액</t>
    <phoneticPr fontId="20" type="noConversion"/>
  </si>
  <si>
    <t>미기입 잔액</t>
    <phoneticPr fontId="20" type="noConversion"/>
  </si>
  <si>
    <t>본예산(직접입력)</t>
    <phoneticPr fontId="20" type="noConversion"/>
  </si>
  <si>
    <t>사업수입(일학습)</t>
    <phoneticPr fontId="20" type="noConversion"/>
  </si>
  <si>
    <t xml:space="preserve">   가족희망드림지원사업(가족역량강화지원사업)</t>
  </si>
  <si>
    <t xml:space="preserve">   가족희망드림지원사업(가족역량강화지원사업)</t>
    <phoneticPr fontId="20" type="noConversion"/>
  </si>
  <si>
    <t xml:space="preserve">   연제구청-여성친화도시 공모사업</t>
    <phoneticPr fontId="20" type="noConversion"/>
  </si>
  <si>
    <t>결혼이민자 취업지원교육-너도나도 외국어</t>
    <phoneticPr fontId="20" type="noConversion"/>
  </si>
  <si>
    <t xml:space="preserve">   전년도이월금(보조금)</t>
    <phoneticPr fontId="20" type="noConversion"/>
  </si>
  <si>
    <t>현장실습수입</t>
    <phoneticPr fontId="20" type="noConversion"/>
  </si>
  <si>
    <t xml:space="preserve">   사회복지현장실습비 수입</t>
    <phoneticPr fontId="20" type="noConversion"/>
  </si>
  <si>
    <t>방임(보+전후)</t>
    <phoneticPr fontId="20" type="noConversion"/>
  </si>
  <si>
    <t>가족희망드림지원사업</t>
    <phoneticPr fontId="20" type="noConversion"/>
  </si>
  <si>
    <t xml:space="preserve">   기타잡수입(보조금)</t>
    <phoneticPr fontId="20" type="noConversion"/>
  </si>
  <si>
    <t>-</t>
    <phoneticPr fontId="20" type="noConversion"/>
  </si>
  <si>
    <t>-</t>
    <phoneticPr fontId="20" type="noConversion"/>
  </si>
  <si>
    <t>팀원-3호봉</t>
    <phoneticPr fontId="20" type="noConversion"/>
  </si>
  <si>
    <t>4호봉</t>
    <phoneticPr fontId="20" type="noConversion"/>
  </si>
  <si>
    <t>지원인력</t>
    <phoneticPr fontId="20" type="noConversion"/>
  </si>
  <si>
    <t>×</t>
    <phoneticPr fontId="20" type="noConversion"/>
  </si>
  <si>
    <t>×</t>
    <phoneticPr fontId="20" type="noConversion"/>
  </si>
  <si>
    <t>=</t>
    <phoneticPr fontId="20" type="noConversion"/>
  </si>
  <si>
    <t>팀원1-4호봉</t>
    <phoneticPr fontId="20" type="noConversion"/>
  </si>
  <si>
    <t xml:space="preserve">         5호봉 </t>
    <phoneticPr fontId="20" type="noConversion"/>
  </si>
  <si>
    <t>팀원2-4호봉</t>
    <phoneticPr fontId="20" type="noConversion"/>
  </si>
  <si>
    <t>인사위원회활동비</t>
    <phoneticPr fontId="20" type="noConversion"/>
  </si>
  <si>
    <t>모임온</t>
    <phoneticPr fontId="20" type="noConversion"/>
  </si>
  <si>
    <t>이음온</t>
    <phoneticPr fontId="20" type="noConversion"/>
  </si>
  <si>
    <t>홍보사업</t>
    <phoneticPr fontId="20" type="noConversion"/>
  </si>
  <si>
    <t>지원인력</t>
    <phoneticPr fontId="20" type="noConversion"/>
  </si>
  <si>
    <t>-</t>
    <phoneticPr fontId="20" type="noConversion"/>
  </si>
  <si>
    <t>관리인력</t>
    <phoneticPr fontId="20" type="noConversion"/>
  </si>
  <si>
    <t xml:space="preserve">     ▶ 보조금 예산 증가</t>
    <phoneticPr fontId="20" type="noConversion"/>
  </si>
  <si>
    <t>건가다가 통합서비스 지원사업(가족센터)</t>
    <phoneticPr fontId="20" type="noConversion"/>
  </si>
  <si>
    <t>제수당 - 시간외근무수당</t>
    <phoneticPr fontId="20" type="noConversion"/>
  </si>
  <si>
    <t>기타렌탈료</t>
    <phoneticPr fontId="20" type="noConversion"/>
  </si>
  <si>
    <t>주말농장</t>
    <phoneticPr fontId="20" type="noConversion"/>
  </si>
  <si>
    <t xml:space="preserve">   지정후원금(마사회)</t>
    <phoneticPr fontId="20" type="noConversion"/>
  </si>
  <si>
    <t xml:space="preserve">   시간외보존수당</t>
    <phoneticPr fontId="20" type="noConversion"/>
  </si>
  <si>
    <t>시간외보존수당</t>
    <phoneticPr fontId="20" type="noConversion"/>
  </si>
  <si>
    <t>지원인력 17명</t>
    <phoneticPr fontId="20" type="noConversion"/>
  </si>
  <si>
    <t xml:space="preserve">   방임(보호)아동·청소년 원가정 기능회복 지원사업</t>
    <phoneticPr fontId="20" type="noConversion"/>
  </si>
  <si>
    <t xml:space="preserve">   가족센터사업비(건가다가 통합서비스 지원사업)</t>
  </si>
  <si>
    <t xml:space="preserve">   이중언어가족환경 조성</t>
    <phoneticPr fontId="20" type="noConversion"/>
  </si>
  <si>
    <t xml:space="preserve">   종사자복지포인트</t>
    <phoneticPr fontId="34" type="noConversion"/>
  </si>
  <si>
    <t>센터장-22호봉</t>
    <phoneticPr fontId="20" type="noConversion"/>
  </si>
  <si>
    <t xml:space="preserve">            23호봉</t>
    <phoneticPr fontId="20" type="noConversion"/>
  </si>
  <si>
    <t xml:space="preserve">               14호봉</t>
    <phoneticPr fontId="20" type="noConversion"/>
  </si>
  <si>
    <t>팀장1-8호봉</t>
    <phoneticPr fontId="20" type="noConversion"/>
  </si>
  <si>
    <t>선임팀원-5호봉</t>
    <phoneticPr fontId="20" type="noConversion"/>
  </si>
  <si>
    <t>팀장2-6호봉</t>
    <phoneticPr fontId="20" type="noConversion"/>
  </si>
  <si>
    <t>팀원1-4호봉</t>
    <phoneticPr fontId="20" type="noConversion"/>
  </si>
  <si>
    <t xml:space="preserve">         5호봉 </t>
    <phoneticPr fontId="20" type="noConversion"/>
  </si>
  <si>
    <t>팀원2-4호봉</t>
    <phoneticPr fontId="20" type="noConversion"/>
  </si>
  <si>
    <t>=</t>
    <phoneticPr fontId="20" type="noConversion"/>
  </si>
  <si>
    <t>가족상담전문인력1-1호봉</t>
    <phoneticPr fontId="20" type="noConversion"/>
  </si>
  <si>
    <t>직원 2명</t>
    <phoneticPr fontId="20" type="noConversion"/>
  </si>
  <si>
    <t>직원 2명</t>
    <phoneticPr fontId="20" type="noConversion"/>
  </si>
  <si>
    <t>직원 1명</t>
    <phoneticPr fontId="20" type="noConversion"/>
  </si>
  <si>
    <t>직원 2명</t>
    <phoneticPr fontId="20" type="noConversion"/>
  </si>
  <si>
    <t>기타수용비(가족친화인증심사 등)</t>
    <phoneticPr fontId="34" type="noConversion"/>
  </si>
  <si>
    <t>사무용품구입비 등</t>
    <phoneticPr fontId="20" type="noConversion"/>
  </si>
  <si>
    <t>수수료 및 등기료 등</t>
    <phoneticPr fontId="20" type="noConversion"/>
  </si>
  <si>
    <t>차량렌탈비</t>
    <phoneticPr fontId="20" type="noConversion"/>
  </si>
  <si>
    <t>CMS/정수기</t>
    <phoneticPr fontId="20" type="noConversion"/>
  </si>
  <si>
    <t>집기구입비(청소)</t>
    <phoneticPr fontId="20" type="noConversion"/>
  </si>
  <si>
    <t>한국어사무용품구입비</t>
    <phoneticPr fontId="20" type="noConversion"/>
  </si>
  <si>
    <t>사무용품 및 청소용품 구입비</t>
    <phoneticPr fontId="20" type="noConversion"/>
  </si>
  <si>
    <t>시외여비</t>
    <phoneticPr fontId="20" type="noConversion"/>
  </si>
  <si>
    <t>기타공공요금(대표번호 이용요금)</t>
    <phoneticPr fontId="20" type="noConversion"/>
  </si>
  <si>
    <t>기타공공요금</t>
    <phoneticPr fontId="20" type="noConversion"/>
  </si>
  <si>
    <t>웹문자이용료 충전</t>
    <phoneticPr fontId="20" type="noConversion"/>
  </si>
  <si>
    <t>기타공공요금(전기 및 상하 등)</t>
    <phoneticPr fontId="20" type="noConversion"/>
  </si>
  <si>
    <t>공공요금</t>
    <phoneticPr fontId="20" type="noConversion"/>
  </si>
  <si>
    <t>기관전화요금</t>
    <phoneticPr fontId="20" type="noConversion"/>
  </si>
  <si>
    <t>×</t>
    <phoneticPr fontId="20" type="noConversion"/>
  </si>
  <si>
    <t>차량유류대</t>
    <phoneticPr fontId="20" type="noConversion"/>
  </si>
  <si>
    <t>직원교육비</t>
    <phoneticPr fontId="20" type="noConversion"/>
  </si>
  <si>
    <t>기타운영비</t>
    <phoneticPr fontId="20" type="noConversion"/>
  </si>
  <si>
    <t>지원인력 관리</t>
    <phoneticPr fontId="20" type="noConversion"/>
  </si>
  <si>
    <t>지지리더 파견</t>
    <phoneticPr fontId="20" type="noConversion"/>
  </si>
  <si>
    <t>청소년부모 법률상담 연계</t>
    <phoneticPr fontId="20" type="noConversion"/>
  </si>
  <si>
    <t>토닥토닥 소중한 나</t>
    <phoneticPr fontId="20" type="noConversion"/>
  </si>
  <si>
    <t>사업홍보</t>
    <phoneticPr fontId="20" type="noConversion"/>
  </si>
  <si>
    <t>가족상담</t>
    <phoneticPr fontId="20" type="noConversion"/>
  </si>
  <si>
    <t>부모자녀교육</t>
    <phoneticPr fontId="20" type="noConversion"/>
  </si>
  <si>
    <t>관계개선 프로그램</t>
    <phoneticPr fontId="20" type="noConversion"/>
  </si>
  <si>
    <t>돌봄온</t>
    <phoneticPr fontId="20" type="noConversion"/>
  </si>
  <si>
    <t>마음온</t>
    <phoneticPr fontId="20" type="noConversion"/>
  </si>
  <si>
    <t>배움온</t>
    <phoneticPr fontId="20" type="noConversion"/>
  </si>
  <si>
    <t>인식개선 및 공동체의식-따뜻한 겨울나기</t>
    <phoneticPr fontId="20" type="noConversion"/>
  </si>
  <si>
    <t>연제구가족축제</t>
    <phoneticPr fontId="20" type="noConversion"/>
  </si>
  <si>
    <t>결혼이민자정착단계별 지원패키지</t>
    <phoneticPr fontId="20" type="noConversion"/>
  </si>
  <si>
    <t>학업지원반(검정고시반)-다독다독</t>
    <phoneticPr fontId="20" type="noConversion"/>
  </si>
  <si>
    <t>팜케어</t>
    <phoneticPr fontId="20" type="noConversion"/>
  </si>
  <si>
    <t>밀알복지재단</t>
    <phoneticPr fontId="20" type="noConversion"/>
  </si>
  <si>
    <t>희망브리지</t>
    <phoneticPr fontId="20" type="noConversion"/>
  </si>
  <si>
    <t xml:space="preserve">   가족센터 종사자 처우개선비</t>
    <phoneticPr fontId="34" type="noConversion"/>
  </si>
  <si>
    <t>가족센터 종사자 처우개선비</t>
    <phoneticPr fontId="20" type="noConversion"/>
  </si>
  <si>
    <t>가족센터 종사자 처우개선비</t>
    <phoneticPr fontId="20" type="noConversion"/>
  </si>
  <si>
    <t>가족센터 종사자 처우개선비</t>
    <phoneticPr fontId="20" type="noConversion"/>
  </si>
  <si>
    <t>계</t>
    <phoneticPr fontId="20" type="noConversion"/>
  </si>
  <si>
    <t>기타예금이자
수입</t>
    <phoneticPr fontId="20" type="noConversion"/>
  </si>
  <si>
    <t>기타예금이자수입</t>
    <phoneticPr fontId="20" type="noConversion"/>
  </si>
  <si>
    <t xml:space="preserve">   예금이자수입</t>
    <phoneticPr fontId="20" type="noConversion"/>
  </si>
  <si>
    <t>-</t>
    <phoneticPr fontId="20" type="noConversion"/>
  </si>
  <si>
    <t xml:space="preserve">     ▶ 사업수입 예산 증가: 일학습 병행사업 예산 증가</t>
    <phoneticPr fontId="20" type="noConversion"/>
  </si>
  <si>
    <t xml:space="preserve">     ▶ 잡수입 예산 증가</t>
    <phoneticPr fontId="20" type="noConversion"/>
  </si>
  <si>
    <t xml:space="preserve">      - 업무추진비 및 운영비 예산 조정 </t>
    <phoneticPr fontId="20" type="noConversion"/>
  </si>
  <si>
    <t>가족상담</t>
    <phoneticPr fontId="20" type="noConversion"/>
  </si>
  <si>
    <t>홍보</t>
    <phoneticPr fontId="20" type="noConversion"/>
  </si>
  <si>
    <t>팀원4-3호봉</t>
    <phoneticPr fontId="20" type="noConversion"/>
  </si>
  <si>
    <t>가족상담전문인력2-1호봉</t>
    <phoneticPr fontId="20" type="noConversion"/>
  </si>
  <si>
    <t>팀원3-1호봉</t>
    <phoneticPr fontId="34" type="noConversion"/>
  </si>
  <si>
    <t>사무국장-13호봉</t>
    <phoneticPr fontId="20" type="noConversion"/>
  </si>
  <si>
    <t>직원 9명</t>
    <phoneticPr fontId="20" type="noConversion"/>
  </si>
  <si>
    <t>직원 8명</t>
    <phoneticPr fontId="20" type="noConversion"/>
  </si>
  <si>
    <t>2023년 
결산추경예산(B)</t>
    <phoneticPr fontId="20" type="noConversion"/>
  </si>
  <si>
    <t>2023년 
4차추경예산(A)</t>
    <phoneticPr fontId="20" type="noConversion"/>
  </si>
  <si>
    <t>인터넷, 전화요금</t>
    <phoneticPr fontId="20" type="noConversion"/>
  </si>
  <si>
    <t>CMS/정수기</t>
    <phoneticPr fontId="20" type="noConversion"/>
  </si>
  <si>
    <t>연차수당 차액분</t>
    <phoneticPr fontId="20" type="noConversion"/>
  </si>
  <si>
    <t>2023년 주민참여 가족서비스 - 늘품터</t>
    <phoneticPr fontId="20" type="noConversion"/>
  </si>
  <si>
    <t xml:space="preserve">   2023년 주민참여 가족서비스 - 늘품터</t>
    <phoneticPr fontId="20" type="noConversion"/>
  </si>
  <si>
    <t>기타운영비</t>
    <phoneticPr fontId="20" type="noConversion"/>
  </si>
  <si>
    <t xml:space="preserve">   기타잡수입</t>
    <phoneticPr fontId="20" type="noConversion"/>
  </si>
  <si>
    <t xml:space="preserve">      - 기타보조금(2023년 주민참여 가족서비스) 증가</t>
    <phoneticPr fontId="20" type="noConversion"/>
  </si>
  <si>
    <t xml:space="preserve">      - 비지정 후원금 예산 증가</t>
    <phoneticPr fontId="20" type="noConversion"/>
  </si>
  <si>
    <t xml:space="preserve">     ▶ 후원금 예산 증가</t>
    <phoneticPr fontId="20" type="noConversion"/>
  </si>
  <si>
    <t xml:space="preserve">      - 지정 후원금 예산 조정</t>
    <phoneticPr fontId="20" type="noConversion"/>
  </si>
  <si>
    <t xml:space="preserve">     ▶ 법인전입금 예산 감소</t>
    <phoneticPr fontId="20" type="noConversion"/>
  </si>
  <si>
    <t xml:space="preserve">      - 가족센터 직원 퇴사로 인한 인건비 감소</t>
    <phoneticPr fontId="20" type="noConversion"/>
  </si>
  <si>
    <t xml:space="preserve">     ▶ 재산조성비 증가: 24년 사업확산에 따른 인력채용으로 자산취득비 예산 증가</t>
    <phoneticPr fontId="20" type="noConversion"/>
  </si>
  <si>
    <t xml:space="preserve">     ▶ 신규 사업 생성(2023년 주민참여 가족서비스 사업) 및 전반적인 사업비 조정으로 사업비 예산 증가</t>
    <phoneticPr fontId="20" type="noConversion"/>
  </si>
  <si>
    <t>23년 반환금</t>
    <phoneticPr fontId="20" type="noConversion"/>
  </si>
  <si>
    <t>24년 반환금</t>
    <phoneticPr fontId="20" type="noConversion"/>
  </si>
  <si>
    <t xml:space="preserve">     ▶ 사무비 감소</t>
    <phoneticPr fontId="20" type="noConversion"/>
  </si>
  <si>
    <t xml:space="preserve">     ▶ 24년도 반환금 계상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</si>
</sst>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-* #,##0_-;\-* #,##0_-;_-* &quot;-&quot;_-;_-@_-"/>
    <numFmt numFmtId="176" formatCode="#,##0_ "/>
    <numFmt numFmtId="177" formatCode="&quot;국비:&quot;#,##0,"/>
    <numFmt numFmtId="178" formatCode="&quot;지정:&quot;#,##0,"/>
    <numFmt numFmtId="179" formatCode="&quot;자체수입등:&quot;#,##0,"/>
    <numFmt numFmtId="180" formatCode="#,##0&quot;명&quot;"/>
    <numFmt numFmtId="181" formatCode="#,##0&quot;월&quot;"/>
    <numFmt numFmtId="182" formatCode="#,##0_);[Red]\(#,##0\)"/>
    <numFmt numFmtId="183" formatCode="#,##0&quot;회&quot;"/>
    <numFmt numFmtId="184" formatCode="#,##0&quot;box&quot;"/>
    <numFmt numFmtId="185" formatCode="_-* #,##0_-;\-* #,##0_-;_-* &quot;-&quot;??_-;_-@_-"/>
    <numFmt numFmtId="186" formatCode="#,##0&quot;주&quot;"/>
    <numFmt numFmtId="187" formatCode="#,##0&quot;회&quot;\ "/>
    <numFmt numFmtId="188" formatCode="#,##0&quot;시간&quot;"/>
    <numFmt numFmtId="189" formatCode="#,##0&quot;월&quot;\ "/>
  </numFmts>
  <fonts count="41">
    <font>
      <sz val="11"/>
      <color rgb="FF000000"/>
      <name val="맑은 고딕"/>
    </font>
    <font>
      <sz val="11"/>
      <color rgb="FF000000"/>
      <name val="돋움"/>
      <family val="3"/>
      <charset val="129"/>
    </font>
    <font>
      <sz val="10"/>
      <color rgb="FF000000"/>
      <name val="굴림체"/>
      <family val="3"/>
      <charset val="129"/>
    </font>
    <font>
      <sz val="10"/>
      <color rgb="FFFFFFFF"/>
      <name val="굴림체"/>
      <family val="3"/>
      <charset val="129"/>
    </font>
    <font>
      <b/>
      <sz val="10"/>
      <color rgb="FF333333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sz val="10"/>
      <color rgb="FFFF0000"/>
      <name val="굴림체"/>
      <family val="3"/>
      <charset val="129"/>
    </font>
    <font>
      <sz val="10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  <font>
      <b/>
      <sz val="10"/>
      <color rgb="FF333333"/>
      <name val="돋움"/>
      <family val="3"/>
      <charset val="129"/>
    </font>
    <font>
      <sz val="10"/>
      <color rgb="FF333333"/>
      <name val="돋움"/>
      <family val="3"/>
      <charset val="129"/>
    </font>
    <font>
      <sz val="9"/>
      <color rgb="FF000000"/>
      <name val="돋움"/>
      <family val="3"/>
      <charset val="129"/>
    </font>
    <font>
      <b/>
      <sz val="9"/>
      <color rgb="FF000000"/>
      <name val="돋움"/>
      <family val="3"/>
      <charset val="129"/>
    </font>
    <font>
      <sz val="10"/>
      <color rgb="FFFF0000"/>
      <name val="돋움"/>
      <family val="3"/>
      <charset val="129"/>
    </font>
    <font>
      <sz val="8.5"/>
      <color rgb="FF000000"/>
      <name val="돋움"/>
      <family val="3"/>
      <charset val="129"/>
    </font>
    <font>
      <sz val="10"/>
      <color rgb="FF333333"/>
      <name val="굴림체"/>
      <family val="3"/>
      <charset val="129"/>
    </font>
    <font>
      <b/>
      <sz val="18"/>
      <color rgb="FF000000"/>
      <name val="굴림체"/>
      <family val="3"/>
      <charset val="129"/>
    </font>
    <font>
      <b/>
      <sz val="18"/>
      <color rgb="FF000000"/>
      <name val="돋움"/>
      <family val="3"/>
      <charset val="129"/>
    </font>
    <font>
      <b/>
      <sz val="11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돋움"/>
      <family val="3"/>
      <charset val="129"/>
    </font>
    <font>
      <sz val="9"/>
      <color rgb="FF00000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9"/>
      <color rgb="FF000000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sz val="9"/>
      <color rgb="FF000000"/>
      <name val="돋음"/>
      <family val="3"/>
      <charset val="129"/>
    </font>
    <font>
      <sz val="8"/>
      <name val="맑은 고딕"/>
      <family val="2"/>
      <charset val="129"/>
      <scheme val="minor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9"/>
      <name val="돋움"/>
      <family val="3"/>
      <charset val="129"/>
    </font>
    <font>
      <b/>
      <sz val="9"/>
      <name val="돋움"/>
      <family val="3"/>
      <charset val="129"/>
    </font>
    <font>
      <u/>
      <sz val="10"/>
      <name val="돋움"/>
      <family val="3"/>
      <charset val="129"/>
    </font>
    <font>
      <sz val="11"/>
      <name val="맑은 고딕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FFFFCC"/>
      </patternFill>
    </fill>
    <fill>
      <patternFill patternType="solid">
        <fgColor rgb="FFEDEDED"/>
      </patternFill>
    </fill>
    <fill>
      <patternFill patternType="solid">
        <fgColor rgb="FFFF99FF"/>
      </patternFill>
    </fill>
    <fill>
      <patternFill patternType="solid">
        <fgColor rgb="FFFFFF00"/>
      </patternFill>
    </fill>
    <fill>
      <patternFill patternType="solid">
        <fgColor rgb="FFEAEAEA"/>
      </patternFill>
    </fill>
    <fill>
      <patternFill patternType="solid">
        <fgColor rgb="FFFFFFCF"/>
      </patternFill>
    </fill>
    <fill>
      <patternFill patternType="solid">
        <fgColor rgb="FFF9EDF5"/>
      </patternFill>
    </fill>
    <fill>
      <patternFill patternType="solid">
        <fgColor rgb="FFE7F4F6"/>
      </patternFill>
    </fill>
    <fill>
      <patternFill patternType="solid">
        <fgColor rgb="FFEFF6E7"/>
      </patternFill>
    </fill>
    <fill>
      <patternFill patternType="solid">
        <fgColor rgb="FFFCF5E7"/>
      </patternFill>
    </fill>
    <fill>
      <patternFill patternType="solid">
        <fgColor rgb="FFD8FFD8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6DCDA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6CD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3EBDD"/>
        <bgColor indexed="64"/>
      </patternFill>
    </fill>
    <fill>
      <patternFill patternType="solid">
        <fgColor rgb="FFFFEBFE"/>
        <bgColor indexed="64"/>
      </patternFill>
    </fill>
  </fills>
  <borders count="152">
    <border>
      <left/>
      <right/>
      <top/>
      <bottom/>
      <diagonal/>
    </border>
    <border diagonalUp="1" diagonalDown="1">
      <left style="thin">
        <color indexed="64"/>
      </left>
      <right/>
      <top/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/>
    </border>
    <border diagonalUp="1" diagonalDown="1">
      <left style="medium">
        <color indexed="64"/>
      </left>
      <right style="thin">
        <color indexed="64"/>
      </right>
      <top/>
      <bottom/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 style="thin">
        <color indexed="64"/>
      </top>
      <bottom/>
      <diagonal/>
    </border>
    <border diagonalUp="1" diagonalDown="1">
      <left style="thin">
        <color indexed="64"/>
      </left>
      <right/>
      <top/>
      <bottom/>
      <diagonal/>
    </border>
    <border diagonalUp="1" diagonalDown="1">
      <left/>
      <right/>
      <top/>
      <bottom style="medium">
        <color indexed="64"/>
      </bottom>
      <diagonal/>
    </border>
    <border diagonalUp="1" diagonalDown="1">
      <left style="thin">
        <color indexed="64"/>
      </left>
      <right/>
      <top/>
      <bottom style="thin">
        <color indexed="64"/>
      </bottom>
      <diagonal/>
    </border>
    <border diagonalUp="1" diagonalDown="1"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/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/>
      <bottom/>
      <diagonal/>
    </border>
    <border diagonalUp="1" diagonalDown="1">
      <left/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 style="thin">
        <color indexed="64"/>
      </top>
      <bottom/>
      <diagonal/>
    </border>
    <border diagonalUp="1" diagonalDown="1">
      <left/>
      <right/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medium">
        <color indexed="64"/>
      </top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/>
      <right/>
      <top style="hair">
        <color indexed="64"/>
      </top>
      <bottom/>
      <diagonal/>
    </border>
    <border diagonalUp="1"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 style="thin">
        <color indexed="64"/>
      </top>
      <bottom style="hair">
        <color indexed="64"/>
      </bottom>
      <diagonal/>
    </border>
    <border diagonalUp="1" diagonalDown="1"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 diagonalDown="1">
      <left/>
      <right style="medium">
        <color indexed="64"/>
      </right>
      <top style="hair">
        <color indexed="64"/>
      </top>
      <bottom/>
      <diagonal/>
    </border>
    <border diagonalUp="1" diagonalDown="1">
      <left style="medium">
        <color indexed="64"/>
      </left>
      <right/>
      <top style="thin">
        <color indexed="64"/>
      </top>
      <bottom/>
      <diagonal/>
    </border>
    <border diagonalUp="1" diagonalDown="1">
      <left style="medium">
        <color indexed="64"/>
      </left>
      <right/>
      <top/>
      <bottom/>
      <diagonal/>
    </border>
    <border diagonalUp="1" diagonalDown="1"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/>
      <bottom style="medium">
        <color indexed="64"/>
      </bottom>
      <diagonal/>
    </border>
    <border diagonalUp="1" diagonalDown="1">
      <left/>
      <right style="thin">
        <color indexed="64"/>
      </right>
      <top/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Up="1" diagonalDown="1">
      <left/>
      <right style="hair">
        <color indexed="64"/>
      </right>
      <top style="thin">
        <color indexed="64"/>
      </top>
      <bottom style="hair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/>
      <bottom/>
      <diagonal/>
    </border>
    <border diagonalUp="1" diagonalDown="1">
      <left style="medium">
        <color indexed="64"/>
      </left>
      <right/>
      <top/>
      <bottom style="thin">
        <color indexed="64"/>
      </bottom>
      <diagonal/>
    </border>
    <border diagonalUp="1" diagonalDown="1">
      <left/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 diagonalDown="1">
      <left style="medium">
        <color indexed="64"/>
      </left>
      <right/>
      <top/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/>
      <diagonal/>
    </border>
    <border diagonalUp="1" diagonalDown="1"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/>
      <right/>
      <top style="thin">
        <color indexed="64"/>
      </top>
      <bottom style="hair">
        <color indexed="64"/>
      </bottom>
      <diagonal/>
    </border>
    <border diagonalUp="1" diagonalDown="1">
      <left/>
      <right/>
      <top style="hair">
        <color indexed="64"/>
      </top>
      <bottom style="hair">
        <color indexed="64"/>
      </bottom>
      <diagonal/>
    </border>
    <border diagonalUp="1" diagonalDown="1">
      <left/>
      <right/>
      <top style="hair">
        <color indexed="64"/>
      </top>
      <bottom style="thin">
        <color indexed="64"/>
      </bottom>
      <diagonal/>
    </border>
    <border diagonalUp="1" diagonalDown="1"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Up="1" diagonalDown="1"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 diagonalDown="1"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 diagonalDown="1">
      <left/>
      <right style="thin">
        <color indexed="64"/>
      </right>
      <top style="hair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 diagonalDown="1"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/>
    <xf numFmtId="9" fontId="1" fillId="0" borderId="0"/>
    <xf numFmtId="41" fontId="19" fillId="0" borderId="0">
      <alignment vertical="center"/>
    </xf>
  </cellStyleXfs>
  <cellXfs count="1128">
    <xf numFmtId="0" fontId="0" fillId="0" borderId="0" xfId="0" applyNumberFormat="1">
      <alignment vertical="center"/>
    </xf>
    <xf numFmtId="0" fontId="2" fillId="0" borderId="0" xfId="1" applyNumberFormat="1" applyFont="1" applyFill="1" applyAlignment="1">
      <alignment horizontal="center" vertical="center"/>
    </xf>
    <xf numFmtId="41" fontId="2" fillId="0" borderId="0" xfId="2" applyNumberFormat="1" applyFont="1" applyFill="1" applyAlignment="1">
      <alignment horizontal="right" vertical="center"/>
    </xf>
    <xf numFmtId="0" fontId="2" fillId="0" borderId="0" xfId="1" applyNumberFormat="1" applyFont="1" applyFill="1" applyAlignment="1">
      <alignment horizontal="right" vertical="center"/>
    </xf>
    <xf numFmtId="0" fontId="2" fillId="0" borderId="0" xfId="1" applyNumberFormat="1" applyFont="1" applyFill="1" applyBorder="1" applyAlignment="1">
      <alignment horizontal="center" vertical="center"/>
    </xf>
    <xf numFmtId="41" fontId="2" fillId="0" borderId="0" xfId="2" applyNumberFormat="1" applyFont="1" applyFill="1" applyBorder="1" applyAlignment="1">
      <alignment horizontal="right" vertical="center"/>
    </xf>
    <xf numFmtId="0" fontId="2" fillId="0" borderId="0" xfId="1" applyNumberFormat="1" applyFont="1" applyFill="1" applyBorder="1" applyAlignment="1">
      <alignment horizontal="right" vertical="center"/>
    </xf>
    <xf numFmtId="3" fontId="2" fillId="0" borderId="0" xfId="1" applyNumberFormat="1" applyFont="1" applyFill="1" applyBorder="1" applyAlignment="1">
      <alignment horizontal="right" vertical="center"/>
    </xf>
    <xf numFmtId="0" fontId="2" fillId="0" borderId="0" xfId="1" applyNumberFormat="1" applyFont="1" applyFill="1" applyBorder="1" applyAlignment="1">
      <alignment horizontal="center" vertical="center" shrinkToFit="1"/>
    </xf>
    <xf numFmtId="0" fontId="3" fillId="0" borderId="0" xfId="1" applyNumberFormat="1" applyFont="1" applyFill="1" applyBorder="1" applyAlignment="1">
      <alignment horizontal="center" vertical="center" shrinkToFit="1"/>
    </xf>
    <xf numFmtId="0" fontId="4" fillId="2" borderId="3" xfId="1" applyNumberFormat="1" applyFont="1" applyFill="1" applyBorder="1" applyAlignment="1">
      <alignment vertical="center" shrinkToFit="1"/>
    </xf>
    <xf numFmtId="0" fontId="2" fillId="0" borderId="5" xfId="1" applyNumberFormat="1" applyFont="1" applyFill="1" applyBorder="1" applyAlignment="1">
      <alignment horizontal="center" vertical="center" shrinkToFit="1"/>
    </xf>
    <xf numFmtId="41" fontId="2" fillId="0" borderId="0" xfId="2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left" vertical="center"/>
    </xf>
    <xf numFmtId="0" fontId="2" fillId="0" borderId="0" xfId="1" applyNumberFormat="1" applyFont="1" applyAlignment="1">
      <alignment vertical="center"/>
    </xf>
    <xf numFmtId="0" fontId="5" fillId="0" borderId="0" xfId="1" applyNumberFormat="1" applyFont="1" applyAlignment="1">
      <alignment vertical="center"/>
    </xf>
    <xf numFmtId="0" fontId="2" fillId="0" borderId="0" xfId="1" applyNumberFormat="1" applyFont="1" applyAlignment="1">
      <alignment horizontal="left" vertical="center"/>
    </xf>
    <xf numFmtId="0" fontId="2" fillId="0" borderId="0" xfId="1" applyNumberFormat="1" applyFont="1" applyAlignment="1">
      <alignment horizontal="right" vertical="center"/>
    </xf>
    <xf numFmtId="0" fontId="6" fillId="0" borderId="0" xfId="1" applyNumberFormat="1" applyFont="1" applyAlignment="1">
      <alignment vertical="center"/>
    </xf>
    <xf numFmtId="0" fontId="7" fillId="0" borderId="0" xfId="1" applyNumberFormat="1" applyFont="1" applyFill="1" applyAlignment="1">
      <alignment horizontal="center" vertical="center"/>
    </xf>
    <xf numFmtId="41" fontId="7" fillId="0" borderId="0" xfId="2" applyNumberFormat="1" applyFont="1" applyFill="1" applyAlignment="1">
      <alignment horizontal="center" vertical="center"/>
    </xf>
    <xf numFmtId="0" fontId="8" fillId="0" borderId="0" xfId="1" applyNumberFormat="1" applyFont="1" applyFill="1" applyBorder="1" applyAlignment="1">
      <alignment horizontal="left" vertical="center"/>
    </xf>
    <xf numFmtId="0" fontId="7" fillId="0" borderId="0" xfId="1" applyNumberFormat="1" applyFont="1" applyFill="1" applyBorder="1" applyAlignment="1">
      <alignment horizontal="center" vertical="center"/>
    </xf>
    <xf numFmtId="41" fontId="7" fillId="0" borderId="0" xfId="2" applyNumberFormat="1" applyFont="1" applyFill="1" applyBorder="1" applyAlignment="1">
      <alignment horizontal="center" vertical="center"/>
    </xf>
    <xf numFmtId="0" fontId="7" fillId="0" borderId="5" xfId="1" applyNumberFormat="1" applyFont="1" applyFill="1" applyBorder="1" applyAlignment="1">
      <alignment horizontal="center" vertical="center" shrinkToFit="1"/>
    </xf>
    <xf numFmtId="0" fontId="8" fillId="2" borderId="6" xfId="1" applyNumberFormat="1" applyFont="1" applyFill="1" applyBorder="1" applyAlignment="1">
      <alignment vertical="center" shrinkToFit="1"/>
    </xf>
    <xf numFmtId="0" fontId="9" fillId="2" borderId="6" xfId="1" applyNumberFormat="1" applyFont="1" applyFill="1" applyBorder="1" applyAlignment="1">
      <alignment vertical="center" shrinkToFit="1"/>
    </xf>
    <xf numFmtId="3" fontId="9" fillId="2" borderId="7" xfId="1" applyNumberFormat="1" applyFont="1" applyFill="1" applyBorder="1" applyAlignment="1">
      <alignment horizontal="right" vertical="center"/>
    </xf>
    <xf numFmtId="0" fontId="7" fillId="0" borderId="4" xfId="1" applyNumberFormat="1" applyFont="1" applyFill="1" applyBorder="1" applyAlignment="1">
      <alignment horizontal="center" vertical="center" shrinkToFit="1"/>
    </xf>
    <xf numFmtId="0" fontId="8" fillId="2" borderId="6" xfId="1" applyNumberFormat="1" applyFont="1" applyFill="1" applyBorder="1" applyAlignment="1">
      <alignment horizontal="center" vertical="center" shrinkToFit="1"/>
    </xf>
    <xf numFmtId="3" fontId="8" fillId="2" borderId="7" xfId="1" applyNumberFormat="1" applyFont="1" applyFill="1" applyBorder="1" applyAlignment="1">
      <alignment horizontal="right" vertical="center"/>
    </xf>
    <xf numFmtId="3" fontId="9" fillId="3" borderId="7" xfId="1" applyNumberFormat="1" applyFont="1" applyFill="1" applyBorder="1" applyAlignment="1">
      <alignment horizontal="right" vertical="center"/>
    </xf>
    <xf numFmtId="0" fontId="7" fillId="0" borderId="0" xfId="1" applyNumberFormat="1" applyFont="1" applyFill="1" applyBorder="1" applyAlignment="1">
      <alignment horizontal="right" vertical="center"/>
    </xf>
    <xf numFmtId="41" fontId="7" fillId="0" borderId="0" xfId="2" applyNumberFormat="1" applyFont="1" applyFill="1" applyBorder="1" applyAlignment="1">
      <alignment horizontal="right" vertical="center"/>
    </xf>
    <xf numFmtId="3" fontId="7" fillId="0" borderId="0" xfId="1" applyNumberFormat="1" applyFont="1" applyFill="1" applyBorder="1" applyAlignment="1">
      <alignment horizontal="right" vertical="center"/>
    </xf>
    <xf numFmtId="0" fontId="7" fillId="0" borderId="0" xfId="1" applyNumberFormat="1" applyFont="1" applyFill="1" applyAlignment="1">
      <alignment horizontal="right" vertical="center"/>
    </xf>
    <xf numFmtId="0" fontId="11" fillId="0" borderId="0" xfId="1" applyNumberFormat="1" applyFont="1" applyFill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/>
    </xf>
    <xf numFmtId="41" fontId="11" fillId="0" borderId="0" xfId="2" applyNumberFormat="1" applyFont="1" applyFill="1" applyBorder="1" applyAlignment="1">
      <alignment horizontal="center" vertical="center"/>
    </xf>
    <xf numFmtId="0" fontId="12" fillId="0" borderId="0" xfId="1" applyNumberFormat="1" applyFont="1" applyFill="1" applyBorder="1" applyAlignment="1">
      <alignment horizontal="left" vertical="center"/>
    </xf>
    <xf numFmtId="41" fontId="7" fillId="0" borderId="0" xfId="2" applyNumberFormat="1" applyFont="1" applyFill="1" applyBorder="1" applyAlignment="1">
      <alignment horizontal="right" vertical="center"/>
    </xf>
    <xf numFmtId="41" fontId="11" fillId="0" borderId="0" xfId="2" applyNumberFormat="1" applyFont="1" applyFill="1" applyAlignment="1">
      <alignment horizontal="center" vertical="center"/>
    </xf>
    <xf numFmtId="41" fontId="11" fillId="0" borderId="0" xfId="2" applyNumberFormat="1" applyFont="1" applyFill="1" applyAlignment="1">
      <alignment horizontal="right" vertical="center"/>
    </xf>
    <xf numFmtId="41" fontId="8" fillId="2" borderId="13" xfId="2" applyNumberFormat="1" applyFont="1" applyFill="1" applyBorder="1" applyAlignment="1">
      <alignment horizontal="right" vertical="center"/>
    </xf>
    <xf numFmtId="41" fontId="8" fillId="2" borderId="7" xfId="2" applyNumberFormat="1" applyFont="1" applyFill="1" applyBorder="1" applyAlignment="1">
      <alignment horizontal="right" vertical="center"/>
    </xf>
    <xf numFmtId="0" fontId="8" fillId="3" borderId="8" xfId="1" applyNumberFormat="1" applyFont="1" applyFill="1" applyBorder="1" applyAlignment="1">
      <alignment horizontal="center" vertical="center" shrinkToFit="1"/>
    </xf>
    <xf numFmtId="41" fontId="8" fillId="3" borderId="7" xfId="2" applyNumberFormat="1" applyFont="1" applyFill="1" applyBorder="1" applyAlignment="1">
      <alignment horizontal="right" vertical="center"/>
    </xf>
    <xf numFmtId="0" fontId="8" fillId="3" borderId="16" xfId="1" applyNumberFormat="1" applyFont="1" applyFill="1" applyBorder="1" applyAlignment="1">
      <alignment horizontal="center" vertical="center" shrinkToFit="1"/>
    </xf>
    <xf numFmtId="0" fontId="8" fillId="3" borderId="11" xfId="1" applyNumberFormat="1" applyFont="1" applyFill="1" applyBorder="1" applyAlignment="1">
      <alignment horizontal="center" vertical="center" shrinkToFit="1"/>
    </xf>
    <xf numFmtId="41" fontId="8" fillId="3" borderId="17" xfId="2" applyNumberFormat="1" applyFont="1" applyFill="1" applyBorder="1" applyAlignment="1">
      <alignment horizontal="right" vertical="center"/>
    </xf>
    <xf numFmtId="0" fontId="9" fillId="3" borderId="6" xfId="1" applyNumberFormat="1" applyFont="1" applyFill="1" applyBorder="1" applyAlignment="1">
      <alignment horizontal="center" vertical="center" shrinkToFit="1"/>
    </xf>
    <xf numFmtId="0" fontId="9" fillId="3" borderId="16" xfId="1" applyNumberFormat="1" applyFont="1" applyFill="1" applyBorder="1" applyAlignment="1">
      <alignment horizontal="center" vertical="center" shrinkToFit="1"/>
    </xf>
    <xf numFmtId="0" fontId="4" fillId="2" borderId="19" xfId="1" applyNumberFormat="1" applyFont="1" applyFill="1" applyBorder="1" applyAlignment="1">
      <alignment vertical="center" shrinkToFit="1"/>
    </xf>
    <xf numFmtId="0" fontId="4" fillId="4" borderId="7" xfId="1" applyNumberFormat="1" applyFont="1" applyFill="1" applyBorder="1" applyAlignment="1">
      <alignment horizontal="center" vertical="center"/>
    </xf>
    <xf numFmtId="41" fontId="8" fillId="5" borderId="7" xfId="2" applyNumberFormat="1" applyFont="1" applyFill="1" applyBorder="1" applyAlignment="1">
      <alignment horizontal="right" vertical="center"/>
    </xf>
    <xf numFmtId="3" fontId="9" fillId="5" borderId="7" xfId="1" applyNumberFormat="1" applyFont="1" applyFill="1" applyBorder="1" applyAlignment="1">
      <alignment horizontal="right" vertical="center"/>
    </xf>
    <xf numFmtId="0" fontId="9" fillId="4" borderId="20" xfId="1" applyNumberFormat="1" applyFont="1" applyFill="1" applyBorder="1" applyAlignment="1">
      <alignment horizontal="center" vertical="center"/>
    </xf>
    <xf numFmtId="0" fontId="9" fillId="4" borderId="7" xfId="1" applyNumberFormat="1" applyFont="1" applyFill="1" applyBorder="1" applyAlignment="1">
      <alignment horizontal="center" vertical="center"/>
    </xf>
    <xf numFmtId="0" fontId="9" fillId="4" borderId="16" xfId="1" applyNumberFormat="1" applyFont="1" applyFill="1" applyBorder="1" applyAlignment="1">
      <alignment horizontal="center" vertical="center"/>
    </xf>
    <xf numFmtId="0" fontId="8" fillId="4" borderId="20" xfId="1" applyNumberFormat="1" applyFont="1" applyFill="1" applyBorder="1" applyAlignment="1">
      <alignment horizontal="center" vertical="center"/>
    </xf>
    <xf numFmtId="0" fontId="8" fillId="4" borderId="7" xfId="1" applyNumberFormat="1" applyFont="1" applyFill="1" applyBorder="1" applyAlignment="1">
      <alignment horizontal="center" vertical="center"/>
    </xf>
    <xf numFmtId="0" fontId="8" fillId="4" borderId="16" xfId="1" applyNumberFormat="1" applyFont="1" applyFill="1" applyBorder="1" applyAlignment="1">
      <alignment horizontal="center" vertical="center"/>
    </xf>
    <xf numFmtId="41" fontId="11" fillId="0" borderId="0" xfId="2" applyNumberFormat="1" applyFont="1" applyFill="1" applyBorder="1" applyAlignment="1">
      <alignment horizontal="center" vertical="center"/>
    </xf>
    <xf numFmtId="41" fontId="7" fillId="0" borderId="1" xfId="2" applyNumberFormat="1" applyFont="1" applyFill="1" applyBorder="1" applyAlignment="1">
      <alignment horizontal="right" vertical="center"/>
    </xf>
    <xf numFmtId="41" fontId="11" fillId="0" borderId="0" xfId="2" applyNumberFormat="1" applyFont="1" applyFill="1" applyAlignment="1">
      <alignment horizontal="center" vertical="center"/>
    </xf>
    <xf numFmtId="41" fontId="11" fillId="0" borderId="0" xfId="2" applyNumberFormat="1" applyFont="1" applyFill="1" applyAlignment="1">
      <alignment horizontal="right" vertical="center"/>
    </xf>
    <xf numFmtId="41" fontId="7" fillId="0" borderId="24" xfId="2" applyNumberFormat="1" applyFont="1" applyFill="1" applyBorder="1" applyAlignment="1">
      <alignment horizontal="right" vertical="center" shrinkToFit="1"/>
    </xf>
    <xf numFmtId="41" fontId="4" fillId="5" borderId="0" xfId="1" quotePrefix="1" applyNumberFormat="1" applyFont="1" applyFill="1" applyBorder="1" applyAlignment="1">
      <alignment horizontal="center" vertical="center" shrinkToFit="1"/>
    </xf>
    <xf numFmtId="0" fontId="7" fillId="0" borderId="0" xfId="0" applyNumberFormat="1" applyFont="1" applyFill="1" applyAlignment="1">
      <alignment horizontal="center" vertical="center"/>
    </xf>
    <xf numFmtId="0" fontId="8" fillId="2" borderId="29" xfId="0" applyNumberFormat="1" applyFont="1" applyFill="1" applyBorder="1" applyAlignment="1">
      <alignment vertical="center" shrinkToFit="1"/>
    </xf>
    <xf numFmtId="41" fontId="8" fillId="2" borderId="13" xfId="4" applyNumberFormat="1" applyFont="1" applyFill="1" applyBorder="1" applyAlignment="1">
      <alignment horizontal="right" vertical="center"/>
    </xf>
    <xf numFmtId="41" fontId="8" fillId="2" borderId="30" xfId="4" applyNumberFormat="1" applyFont="1" applyFill="1" applyBorder="1" applyAlignment="1">
      <alignment horizontal="right" vertical="center"/>
    </xf>
    <xf numFmtId="0" fontId="8" fillId="8" borderId="6" xfId="0" applyNumberFormat="1" applyFont="1" applyFill="1" applyBorder="1" applyAlignment="1">
      <alignment horizontal="center" vertical="center" shrinkToFit="1"/>
    </xf>
    <xf numFmtId="41" fontId="8" fillId="8" borderId="7" xfId="4" applyNumberFormat="1" applyFont="1" applyFill="1" applyBorder="1" applyAlignment="1">
      <alignment horizontal="right" vertical="center"/>
    </xf>
    <xf numFmtId="41" fontId="8" fillId="8" borderId="16" xfId="4" applyNumberFormat="1" applyFont="1" applyFill="1" applyBorder="1" applyAlignment="1">
      <alignment horizontal="right" vertical="center"/>
    </xf>
    <xf numFmtId="0" fontId="2" fillId="0" borderId="0" xfId="0" applyNumberFormat="1" applyFont="1" applyAlignment="1">
      <alignment vertical="center"/>
    </xf>
    <xf numFmtId="0" fontId="8" fillId="2" borderId="31" xfId="0" applyNumberFormat="1" applyFont="1" applyFill="1" applyBorder="1" applyAlignment="1">
      <alignment vertical="center" shrinkToFit="1"/>
    </xf>
    <xf numFmtId="0" fontId="7" fillId="0" borderId="32" xfId="1" applyNumberFormat="1" applyFont="1" applyFill="1" applyBorder="1" applyAlignment="1">
      <alignment horizontal="center" vertical="center" shrinkToFit="1"/>
    </xf>
    <xf numFmtId="0" fontId="8" fillId="2" borderId="29" xfId="1" applyNumberFormat="1" applyFont="1" applyFill="1" applyBorder="1" applyAlignment="1">
      <alignment vertical="center" shrinkToFit="1"/>
    </xf>
    <xf numFmtId="0" fontId="8" fillId="2" borderId="8" xfId="1" applyNumberFormat="1" applyFont="1" applyFill="1" applyBorder="1" applyAlignment="1">
      <alignment vertical="center" shrinkToFit="1"/>
    </xf>
    <xf numFmtId="0" fontId="9" fillId="2" borderId="6" xfId="1" applyNumberFormat="1" applyFont="1" applyFill="1" applyBorder="1" applyAlignment="1">
      <alignment horizontal="center" vertical="center" shrinkToFit="1"/>
    </xf>
    <xf numFmtId="0" fontId="8" fillId="2" borderId="12" xfId="1" applyNumberFormat="1" applyFont="1" applyFill="1" applyBorder="1" applyAlignment="1">
      <alignment vertical="center" shrinkToFit="1"/>
    </xf>
    <xf numFmtId="185" fontId="7" fillId="0" borderId="34" xfId="2" applyNumberFormat="1" applyFont="1" applyFill="1" applyBorder="1" applyAlignment="1">
      <alignment horizontal="center" vertical="center"/>
    </xf>
    <xf numFmtId="0" fontId="2" fillId="0" borderId="37" xfId="1" applyNumberFormat="1" applyFont="1" applyFill="1" applyBorder="1" applyAlignment="1">
      <alignment horizontal="center" vertical="center"/>
    </xf>
    <xf numFmtId="41" fontId="4" fillId="5" borderId="3" xfId="1" applyNumberFormat="1" applyFont="1" applyFill="1" applyBorder="1" applyAlignment="1">
      <alignment horizontal="right" vertical="center" shrinkToFit="1"/>
    </xf>
    <xf numFmtId="0" fontId="3" fillId="0" borderId="4" xfId="1" applyNumberFormat="1" applyFont="1" applyFill="1" applyBorder="1" applyAlignment="1">
      <alignment horizontal="center" vertical="center" shrinkToFit="1"/>
    </xf>
    <xf numFmtId="0" fontId="7" fillId="0" borderId="44" xfId="1" applyNumberFormat="1" applyFont="1" applyFill="1" applyBorder="1" applyAlignment="1" applyProtection="1">
      <alignment horizontal="center" vertical="center" shrinkToFit="1"/>
    </xf>
    <xf numFmtId="41" fontId="5" fillId="5" borderId="36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center" vertical="center"/>
    </xf>
    <xf numFmtId="41" fontId="5" fillId="0" borderId="0" xfId="1" applyNumberFormat="1" applyFont="1" applyFill="1" applyBorder="1" applyAlignment="1">
      <alignment horizontal="center" vertical="center"/>
    </xf>
    <xf numFmtId="41" fontId="2" fillId="0" borderId="0" xfId="1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 applyProtection="1">
      <alignment horizontal="center" vertical="center" wrapText="1" shrinkToFit="1"/>
    </xf>
    <xf numFmtId="0" fontId="7" fillId="0" borderId="0" xfId="1" applyNumberFormat="1" applyFont="1" applyFill="1" applyBorder="1" applyAlignment="1">
      <alignment horizontal="center" vertical="center" shrinkToFit="1"/>
    </xf>
    <xf numFmtId="0" fontId="8" fillId="3" borderId="7" xfId="1" applyNumberFormat="1" applyFont="1" applyFill="1" applyBorder="1" applyAlignment="1">
      <alignment horizontal="center" vertical="center" shrinkToFit="1"/>
    </xf>
    <xf numFmtId="41" fontId="7" fillId="0" borderId="24" xfId="4" applyNumberFormat="1" applyFont="1" applyFill="1" applyBorder="1" applyAlignment="1">
      <alignment horizontal="right" vertical="center" shrinkToFit="1"/>
    </xf>
    <xf numFmtId="41" fontId="9" fillId="5" borderId="18" xfId="1" applyNumberFormat="1" applyFont="1" applyFill="1" applyBorder="1" applyAlignment="1">
      <alignment horizontal="right" vertical="center"/>
    </xf>
    <xf numFmtId="41" fontId="9" fillId="2" borderId="18" xfId="1" applyNumberFormat="1" applyFont="1" applyFill="1" applyBorder="1" applyAlignment="1">
      <alignment horizontal="right" vertical="center"/>
    </xf>
    <xf numFmtId="41" fontId="8" fillId="2" borderId="18" xfId="1" applyNumberFormat="1" applyFont="1" applyFill="1" applyBorder="1" applyAlignment="1">
      <alignment horizontal="right" vertical="center"/>
    </xf>
    <xf numFmtId="41" fontId="9" fillId="3" borderId="18" xfId="1" applyNumberFormat="1" applyFont="1" applyFill="1" applyBorder="1" applyAlignment="1">
      <alignment horizontal="right" vertical="center"/>
    </xf>
    <xf numFmtId="41" fontId="8" fillId="3" borderId="18" xfId="1" applyNumberFormat="1" applyFont="1" applyFill="1" applyBorder="1" applyAlignment="1">
      <alignment horizontal="right" vertical="center"/>
    </xf>
    <xf numFmtId="41" fontId="5" fillId="5" borderId="50" xfId="1" applyNumberFormat="1" applyFont="1" applyFill="1" applyBorder="1" applyAlignment="1">
      <alignment horizontal="center" vertical="center"/>
    </xf>
    <xf numFmtId="0" fontId="5" fillId="4" borderId="52" xfId="1" applyNumberFormat="1" applyFont="1" applyFill="1" applyBorder="1" applyAlignment="1">
      <alignment horizontal="center" vertical="center"/>
    </xf>
    <xf numFmtId="0" fontId="5" fillId="4" borderId="53" xfId="1" applyNumberFormat="1" applyFont="1" applyFill="1" applyBorder="1" applyAlignment="1">
      <alignment horizontal="center" vertical="center"/>
    </xf>
    <xf numFmtId="0" fontId="5" fillId="4" borderId="54" xfId="1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 wrapText="1" shrinkToFit="1"/>
    </xf>
    <xf numFmtId="41" fontId="7" fillId="0" borderId="28" xfId="4" applyNumberFormat="1" applyFont="1" applyFill="1" applyBorder="1" applyAlignment="1">
      <alignment horizontal="right" vertical="center" shrinkToFit="1"/>
    </xf>
    <xf numFmtId="0" fontId="7" fillId="0" borderId="34" xfId="1" applyNumberFormat="1" applyFont="1" applyFill="1" applyBorder="1" applyAlignment="1">
      <alignment horizontal="center" vertical="center" wrapText="1" shrinkToFit="1"/>
    </xf>
    <xf numFmtId="0" fontId="4" fillId="4" borderId="20" xfId="1" applyNumberFormat="1" applyFont="1" applyFill="1" applyBorder="1" applyAlignment="1">
      <alignment horizontal="center" vertical="center"/>
    </xf>
    <xf numFmtId="0" fontId="16" fillId="0" borderId="0" xfId="1" applyNumberFormat="1" applyFont="1" applyAlignment="1">
      <alignment horizontal="center" vertical="center"/>
    </xf>
    <xf numFmtId="0" fontId="2" fillId="0" borderId="0" xfId="1" applyNumberFormat="1" applyFont="1" applyBorder="1" applyAlignment="1">
      <alignment horizontal="left" vertical="center"/>
    </xf>
    <xf numFmtId="0" fontId="7" fillId="0" borderId="5" xfId="1" applyNumberFormat="1" applyFont="1" applyFill="1" applyBorder="1" applyAlignment="1" applyProtection="1">
      <alignment horizontal="center" vertical="center" shrinkToFit="1"/>
    </xf>
    <xf numFmtId="0" fontId="7" fillId="0" borderId="4" xfId="1" applyNumberFormat="1" applyFont="1" applyFill="1" applyBorder="1" applyAlignment="1" applyProtection="1">
      <alignment horizontal="center" vertical="center" shrinkToFit="1"/>
    </xf>
    <xf numFmtId="0" fontId="7" fillId="0" borderId="17" xfId="1" applyNumberFormat="1" applyFont="1" applyFill="1" applyBorder="1" applyAlignment="1">
      <alignment horizontal="center" vertical="center" shrinkToFit="1"/>
    </xf>
    <xf numFmtId="0" fontId="7" fillId="0" borderId="26" xfId="1" applyNumberFormat="1" applyFont="1" applyFill="1" applyBorder="1" applyAlignment="1">
      <alignment horizontal="center" vertical="center" shrinkToFit="1"/>
    </xf>
    <xf numFmtId="41" fontId="24" fillId="0" borderId="35" xfId="1" applyNumberFormat="1" applyFont="1" applyBorder="1" applyAlignment="1">
      <alignment horizontal="left" vertical="center"/>
    </xf>
    <xf numFmtId="41" fontId="24" fillId="0" borderId="7" xfId="1" applyNumberFormat="1" applyFont="1" applyBorder="1" applyAlignment="1">
      <alignment horizontal="left" vertical="center"/>
    </xf>
    <xf numFmtId="41" fontId="24" fillId="0" borderId="18" xfId="1" applyNumberFormat="1" applyFont="1" applyBorder="1" applyAlignment="1">
      <alignment horizontal="left" vertical="center"/>
    </xf>
    <xf numFmtId="41" fontId="24" fillId="0" borderId="51" xfId="1" applyNumberFormat="1" applyFont="1" applyBorder="1" applyAlignment="1">
      <alignment horizontal="left" vertical="center"/>
    </xf>
    <xf numFmtId="41" fontId="24" fillId="0" borderId="14" xfId="1" applyNumberFormat="1" applyFont="1" applyBorder="1" applyAlignment="1">
      <alignment horizontal="left" vertical="center"/>
    </xf>
    <xf numFmtId="41" fontId="24" fillId="0" borderId="48" xfId="1" applyNumberFormat="1" applyFont="1" applyBorder="1" applyAlignment="1">
      <alignment horizontal="left" vertical="center"/>
    </xf>
    <xf numFmtId="3" fontId="4" fillId="5" borderId="80" xfId="1" applyNumberFormat="1" applyFont="1" applyFill="1" applyBorder="1" applyAlignment="1">
      <alignment horizontal="right" vertical="center" indent="1"/>
    </xf>
    <xf numFmtId="41" fontId="4" fillId="5" borderId="80" xfId="2" applyNumberFormat="1" applyFont="1" applyFill="1" applyBorder="1" applyAlignment="1">
      <alignment horizontal="right" vertical="center" indent="1"/>
    </xf>
    <xf numFmtId="41" fontId="2" fillId="0" borderId="80" xfId="1" applyNumberFormat="1" applyFont="1" applyFill="1" applyBorder="1" applyAlignment="1">
      <alignment horizontal="right" vertical="center" indent="1"/>
    </xf>
    <xf numFmtId="41" fontId="2" fillId="0" borderId="80" xfId="1" applyNumberFormat="1" applyFont="1" applyFill="1" applyBorder="1" applyAlignment="1" applyProtection="1">
      <alignment horizontal="left" vertical="center"/>
    </xf>
    <xf numFmtId="0" fontId="4" fillId="5" borderId="83" xfId="1" applyNumberFormat="1" applyFont="1" applyFill="1" applyBorder="1" applyAlignment="1">
      <alignment horizontal="distributed" vertical="center" wrapText="1"/>
    </xf>
    <xf numFmtId="9" fontId="4" fillId="5" borderId="84" xfId="2" applyNumberFormat="1" applyFont="1" applyFill="1" applyBorder="1" applyAlignment="1">
      <alignment horizontal="right" vertical="center" indent="1"/>
    </xf>
    <xf numFmtId="41" fontId="2" fillId="0" borderId="83" xfId="1" applyNumberFormat="1" applyFont="1" applyFill="1" applyBorder="1" applyAlignment="1">
      <alignment horizontal="distributed" vertical="center" wrapText="1"/>
    </xf>
    <xf numFmtId="9" fontId="2" fillId="0" borderId="84" xfId="1" applyNumberFormat="1" applyFont="1" applyFill="1" applyBorder="1" applyAlignment="1">
      <alignment horizontal="right" vertical="center" indent="1"/>
    </xf>
    <xf numFmtId="41" fontId="2" fillId="0" borderId="85" xfId="1" applyNumberFormat="1" applyFont="1" applyFill="1" applyBorder="1" applyAlignment="1">
      <alignment horizontal="distributed" vertical="center" wrapText="1"/>
    </xf>
    <xf numFmtId="41" fontId="2" fillId="0" borderId="86" xfId="1" applyNumberFormat="1" applyFont="1" applyFill="1" applyBorder="1" applyAlignment="1" applyProtection="1">
      <alignment horizontal="left" vertical="center"/>
    </xf>
    <xf numFmtId="9" fontId="2" fillId="0" borderId="87" xfId="1" applyNumberFormat="1" applyFont="1" applyFill="1" applyBorder="1" applyAlignment="1">
      <alignment horizontal="right" vertical="center" indent="1"/>
    </xf>
    <xf numFmtId="9" fontId="4" fillId="5" borderId="84" xfId="1" applyNumberFormat="1" applyFont="1" applyFill="1" applyBorder="1" applyAlignment="1">
      <alignment horizontal="right" vertical="center" indent="1"/>
    </xf>
    <xf numFmtId="41" fontId="2" fillId="0" borderId="86" xfId="1" applyNumberFormat="1" applyFont="1" applyFill="1" applyBorder="1" applyAlignment="1">
      <alignment horizontal="right" vertical="center" indent="1"/>
    </xf>
    <xf numFmtId="0" fontId="2" fillId="0" borderId="5" xfId="1" applyNumberFormat="1" applyFont="1" applyFill="1" applyBorder="1" applyAlignment="1">
      <alignment horizontal="center" vertical="top" shrinkToFit="1"/>
    </xf>
    <xf numFmtId="0" fontId="2" fillId="0" borderId="4" xfId="1" applyNumberFormat="1" applyFont="1" applyFill="1" applyBorder="1" applyAlignment="1">
      <alignment horizontal="center" vertical="top" shrinkToFit="1"/>
    </xf>
    <xf numFmtId="0" fontId="2" fillId="0" borderId="2" xfId="1" applyNumberFormat="1" applyFont="1" applyFill="1" applyBorder="1" applyAlignment="1">
      <alignment horizontal="center" vertical="top" shrinkToFit="1"/>
    </xf>
    <xf numFmtId="0" fontId="2" fillId="0" borderId="0" xfId="1" applyNumberFormat="1" applyFont="1" applyFill="1" applyBorder="1" applyAlignment="1" applyProtection="1">
      <alignment horizontal="center" vertical="center"/>
    </xf>
    <xf numFmtId="3" fontId="4" fillId="5" borderId="8" xfId="1" applyNumberFormat="1" applyFont="1" applyFill="1" applyBorder="1" applyAlignment="1">
      <alignment horizontal="right" vertical="center"/>
    </xf>
    <xf numFmtId="9" fontId="4" fillId="5" borderId="81" xfId="1" applyNumberFormat="1" applyFont="1" applyFill="1" applyBorder="1" applyAlignment="1">
      <alignment horizontal="right" vertical="center"/>
    </xf>
    <xf numFmtId="3" fontId="4" fillId="5" borderId="77" xfId="1" applyNumberFormat="1" applyFont="1" applyFill="1" applyBorder="1" applyAlignment="1">
      <alignment horizontal="right" vertical="center"/>
    </xf>
    <xf numFmtId="3" fontId="4" fillId="5" borderId="80" xfId="1" applyNumberFormat="1" applyFont="1" applyFill="1" applyBorder="1" applyAlignment="1">
      <alignment horizontal="right" vertical="center"/>
    </xf>
    <xf numFmtId="9" fontId="4" fillId="2" borderId="110" xfId="1" applyNumberFormat="1" applyFont="1" applyFill="1" applyBorder="1" applyAlignment="1">
      <alignment horizontal="right" vertical="center"/>
    </xf>
    <xf numFmtId="9" fontId="4" fillId="4" borderId="111" xfId="1" applyNumberFormat="1" applyFont="1" applyFill="1" applyBorder="1" applyAlignment="1">
      <alignment horizontal="right" vertical="center"/>
    </xf>
    <xf numFmtId="9" fontId="2" fillId="0" borderId="111" xfId="1" applyNumberFormat="1" applyFont="1" applyFill="1" applyBorder="1" applyAlignment="1">
      <alignment horizontal="right" vertical="center"/>
    </xf>
    <xf numFmtId="9" fontId="2" fillId="0" borderId="112" xfId="1" applyNumberFormat="1" applyFont="1" applyFill="1" applyBorder="1" applyAlignment="1">
      <alignment horizontal="right" vertical="center"/>
    </xf>
    <xf numFmtId="9" fontId="2" fillId="0" borderId="40" xfId="1" applyNumberFormat="1" applyFont="1" applyFill="1" applyBorder="1" applyAlignment="1">
      <alignment horizontal="right" vertical="center"/>
    </xf>
    <xf numFmtId="9" fontId="2" fillId="0" borderId="45" xfId="1" applyNumberFormat="1" applyFont="1" applyFill="1" applyBorder="1" applyAlignment="1">
      <alignment horizontal="right" vertical="center"/>
    </xf>
    <xf numFmtId="9" fontId="2" fillId="0" borderId="46" xfId="1" applyNumberFormat="1" applyFont="1" applyFill="1" applyBorder="1" applyAlignment="1">
      <alignment horizontal="right" vertical="center"/>
    </xf>
    <xf numFmtId="41" fontId="4" fillId="2" borderId="67" xfId="1" applyNumberFormat="1" applyFont="1" applyFill="1" applyBorder="1" applyAlignment="1">
      <alignment horizontal="right" vertical="center"/>
    </xf>
    <xf numFmtId="3" fontId="4" fillId="4" borderId="116" xfId="1" applyNumberFormat="1" applyFont="1" applyFill="1" applyBorder="1" applyAlignment="1">
      <alignment horizontal="right" vertical="center"/>
    </xf>
    <xf numFmtId="41" fontId="2" fillId="0" borderId="116" xfId="1" applyNumberFormat="1" applyFont="1" applyFill="1" applyBorder="1" applyAlignment="1">
      <alignment horizontal="right" vertical="center"/>
    </xf>
    <xf numFmtId="3" fontId="2" fillId="0" borderId="116" xfId="1" applyNumberFormat="1" applyFont="1" applyFill="1" applyBorder="1" applyAlignment="1">
      <alignment horizontal="right" vertical="center"/>
    </xf>
    <xf numFmtId="3" fontId="2" fillId="0" borderId="117" xfId="1" applyNumberFormat="1" applyFont="1" applyFill="1" applyBorder="1" applyAlignment="1">
      <alignment horizontal="right" vertical="center"/>
    </xf>
    <xf numFmtId="41" fontId="4" fillId="4" borderId="116" xfId="1" applyNumberFormat="1" applyFont="1" applyFill="1" applyBorder="1" applyAlignment="1">
      <alignment horizontal="right" vertical="center"/>
    </xf>
    <xf numFmtId="41" fontId="2" fillId="0" borderId="117" xfId="1" applyNumberFormat="1" applyFont="1" applyFill="1" applyBorder="1" applyAlignment="1">
      <alignment horizontal="right" vertical="center"/>
    </xf>
    <xf numFmtId="41" fontId="2" fillId="0" borderId="118" xfId="1" applyNumberFormat="1" applyFont="1" applyFill="1" applyBorder="1" applyAlignment="1">
      <alignment horizontal="right" vertical="center"/>
    </xf>
    <xf numFmtId="3" fontId="4" fillId="2" borderId="119" xfId="1" applyNumberFormat="1" applyFont="1" applyFill="1" applyBorder="1" applyAlignment="1">
      <alignment horizontal="right" vertical="center"/>
    </xf>
    <xf numFmtId="3" fontId="4" fillId="4" borderId="120" xfId="1" applyNumberFormat="1" applyFont="1" applyFill="1" applyBorder="1" applyAlignment="1">
      <alignment horizontal="right" vertical="center"/>
    </xf>
    <xf numFmtId="3" fontId="2" fillId="0" borderId="120" xfId="1" applyNumberFormat="1" applyFont="1" applyFill="1" applyBorder="1" applyAlignment="1">
      <alignment horizontal="right" vertical="center"/>
    </xf>
    <xf numFmtId="3" fontId="2" fillId="0" borderId="121" xfId="1" applyNumberFormat="1" applyFont="1" applyFill="1" applyBorder="1" applyAlignment="1">
      <alignment horizontal="right" vertical="center"/>
    </xf>
    <xf numFmtId="3" fontId="4" fillId="4" borderId="101" xfId="1" applyNumberFormat="1" applyFont="1" applyFill="1" applyBorder="1" applyAlignment="1">
      <alignment horizontal="right" vertical="center"/>
    </xf>
    <xf numFmtId="3" fontId="2" fillId="0" borderId="101" xfId="1" applyNumberFormat="1" applyFont="1" applyFill="1" applyBorder="1" applyAlignment="1">
      <alignment horizontal="right" vertical="center"/>
    </xf>
    <xf numFmtId="3" fontId="2" fillId="0" borderId="102" xfId="1" applyNumberFormat="1" applyFont="1" applyFill="1" applyBorder="1" applyAlignment="1">
      <alignment horizontal="right" vertical="center"/>
    </xf>
    <xf numFmtId="3" fontId="4" fillId="2" borderId="100" xfId="1" applyNumberFormat="1" applyFont="1" applyFill="1" applyBorder="1" applyAlignment="1">
      <alignment horizontal="right" vertical="center"/>
    </xf>
    <xf numFmtId="3" fontId="2" fillId="0" borderId="103" xfId="1" applyNumberFormat="1" applyFont="1" applyFill="1" applyBorder="1" applyAlignment="1">
      <alignment horizontal="right" vertical="center"/>
    </xf>
    <xf numFmtId="0" fontId="4" fillId="2" borderId="68" xfId="1" applyNumberFormat="1" applyFont="1" applyFill="1" applyBorder="1" applyAlignment="1" applyProtection="1">
      <alignment horizontal="center" vertical="center" shrinkToFit="1"/>
    </xf>
    <xf numFmtId="0" fontId="4" fillId="4" borderId="113" xfId="1" applyNumberFormat="1" applyFont="1" applyFill="1" applyBorder="1" applyAlignment="1">
      <alignment horizontal="center" vertical="center" shrinkToFit="1"/>
    </xf>
    <xf numFmtId="0" fontId="2" fillId="0" borderId="114" xfId="1" applyNumberFormat="1" applyFont="1" applyFill="1" applyBorder="1" applyAlignment="1">
      <alignment horizontal="center" vertical="center" shrinkToFit="1"/>
    </xf>
    <xf numFmtId="0" fontId="2" fillId="0" borderId="113" xfId="1" applyNumberFormat="1" applyFont="1" applyFill="1" applyBorder="1" applyAlignment="1">
      <alignment horizontal="center" vertical="center" shrinkToFit="1"/>
    </xf>
    <xf numFmtId="0" fontId="4" fillId="2" borderId="68" xfId="1" applyNumberFormat="1" applyFont="1" applyFill="1" applyBorder="1" applyAlignment="1">
      <alignment horizontal="center" vertical="center" shrinkToFit="1"/>
    </xf>
    <xf numFmtId="0" fontId="2" fillId="0" borderId="113" xfId="1" applyNumberFormat="1" applyFont="1" applyFill="1" applyBorder="1" applyAlignment="1" applyProtection="1">
      <alignment horizontal="center" vertical="center" shrinkToFit="1"/>
    </xf>
    <xf numFmtId="0" fontId="2" fillId="0" borderId="115" xfId="1" applyNumberFormat="1" applyFont="1" applyFill="1" applyBorder="1" applyAlignment="1">
      <alignment horizontal="center" vertical="center" shrinkToFit="1"/>
    </xf>
    <xf numFmtId="0" fontId="4" fillId="2" borderId="109" xfId="1" applyNumberFormat="1" applyFont="1" applyFill="1" applyBorder="1" applyAlignment="1" applyProtection="1">
      <alignment horizontal="center" vertical="center" shrinkToFit="1"/>
    </xf>
    <xf numFmtId="0" fontId="4" fillId="2" borderId="109" xfId="1" applyNumberFormat="1" applyFont="1" applyFill="1" applyBorder="1" applyAlignment="1">
      <alignment horizontal="center" vertical="center" shrinkToFit="1"/>
    </xf>
    <xf numFmtId="0" fontId="2" fillId="0" borderId="126" xfId="1" applyNumberFormat="1" applyFont="1" applyFill="1" applyBorder="1" applyAlignment="1">
      <alignment horizontal="center" vertical="center" shrinkToFit="1"/>
    </xf>
    <xf numFmtId="0" fontId="2" fillId="0" borderId="90" xfId="1" applyNumberFormat="1" applyFont="1" applyFill="1" applyBorder="1" applyAlignment="1">
      <alignment horizontal="center" vertical="center" shrinkToFit="1"/>
    </xf>
    <xf numFmtId="0" fontId="2" fillId="0" borderId="123" xfId="1" applyNumberFormat="1" applyFont="1" applyFill="1" applyBorder="1" applyAlignment="1">
      <alignment horizontal="center" vertical="center" shrinkToFit="1"/>
    </xf>
    <xf numFmtId="0" fontId="2" fillId="0" borderId="126" xfId="1" applyNumberFormat="1" applyFont="1" applyFill="1" applyBorder="1" applyAlignment="1" applyProtection="1">
      <alignment vertical="center" shrinkToFit="1"/>
    </xf>
    <xf numFmtId="0" fontId="2" fillId="0" borderId="127" xfId="1" applyNumberFormat="1" applyFont="1" applyFill="1" applyBorder="1" applyAlignment="1" applyProtection="1">
      <alignment vertical="center" shrinkToFit="1"/>
    </xf>
    <xf numFmtId="0" fontId="4" fillId="2" borderId="78" xfId="1" applyNumberFormat="1" applyFont="1" applyFill="1" applyBorder="1" applyAlignment="1">
      <alignment vertical="center" shrinkToFit="1"/>
    </xf>
    <xf numFmtId="0" fontId="2" fillId="0" borderId="77" xfId="1" applyNumberFormat="1" applyFont="1" applyFill="1" applyBorder="1" applyAlignment="1">
      <alignment horizontal="center" vertical="center" shrinkToFit="1"/>
    </xf>
    <xf numFmtId="0" fontId="3" fillId="0" borderId="95" xfId="1" applyNumberFormat="1" applyFont="1" applyFill="1" applyBorder="1" applyAlignment="1">
      <alignment horizontal="center" vertical="center" shrinkToFit="1"/>
    </xf>
    <xf numFmtId="0" fontId="3" fillId="0" borderId="78" xfId="1" applyNumberFormat="1" applyFont="1" applyFill="1" applyBorder="1" applyAlignment="1">
      <alignment horizontal="center" vertical="center" shrinkToFit="1"/>
    </xf>
    <xf numFmtId="0" fontId="2" fillId="0" borderId="78" xfId="1" applyNumberFormat="1" applyFont="1" applyFill="1" applyBorder="1" applyAlignment="1">
      <alignment horizontal="center" vertical="center" shrinkToFit="1"/>
    </xf>
    <xf numFmtId="0" fontId="4" fillId="2" borderId="77" xfId="1" applyNumberFormat="1" applyFont="1" applyFill="1" applyBorder="1" applyAlignment="1">
      <alignment vertical="center" shrinkToFit="1"/>
    </xf>
    <xf numFmtId="41" fontId="4" fillId="2" borderId="35" xfId="1" applyNumberFormat="1" applyFont="1" applyFill="1" applyBorder="1" applyAlignment="1">
      <alignment horizontal="right" vertical="center" shrinkToFit="1"/>
    </xf>
    <xf numFmtId="41" fontId="2" fillId="0" borderId="120" xfId="2" applyNumberFormat="1" applyFont="1" applyFill="1" applyBorder="1" applyAlignment="1">
      <alignment horizontal="right" vertical="center"/>
    </xf>
    <xf numFmtId="41" fontId="15" fillId="0" borderId="120" xfId="1" applyNumberFormat="1" applyFont="1" applyFill="1" applyBorder="1" applyAlignment="1">
      <alignment horizontal="right" vertical="center" shrinkToFit="1"/>
    </xf>
    <xf numFmtId="41" fontId="4" fillId="4" borderId="119" xfId="1" applyNumberFormat="1" applyFont="1" applyFill="1" applyBorder="1" applyAlignment="1">
      <alignment horizontal="right" vertical="center" shrinkToFit="1"/>
    </xf>
    <xf numFmtId="41" fontId="2" fillId="0" borderId="131" xfId="2" applyNumberFormat="1" applyFont="1" applyFill="1" applyBorder="1" applyAlignment="1">
      <alignment horizontal="right" vertical="center"/>
    </xf>
    <xf numFmtId="41" fontId="4" fillId="2" borderId="80" xfId="1" applyNumberFormat="1" applyFont="1" applyFill="1" applyBorder="1" applyAlignment="1">
      <alignment horizontal="right" vertical="center" shrinkToFit="1"/>
    </xf>
    <xf numFmtId="41" fontId="15" fillId="0" borderId="78" xfId="1" applyNumberFormat="1" applyFont="1" applyFill="1" applyBorder="1" applyAlignment="1">
      <alignment horizontal="right" vertical="center" shrinkToFit="1"/>
    </xf>
    <xf numFmtId="41" fontId="15" fillId="0" borderId="132" xfId="1" applyNumberFormat="1" applyFont="1" applyFill="1" applyBorder="1" applyAlignment="1">
      <alignment horizontal="right" vertical="center" shrinkToFit="1"/>
    </xf>
    <xf numFmtId="41" fontId="2" fillId="0" borderId="132" xfId="2" applyNumberFormat="1" applyFont="1" applyFill="1" applyBorder="1" applyAlignment="1">
      <alignment horizontal="right" vertical="center"/>
    </xf>
    <xf numFmtId="41" fontId="2" fillId="0" borderId="133" xfId="2" applyNumberFormat="1" applyFont="1" applyFill="1" applyBorder="1" applyAlignment="1">
      <alignment horizontal="right" vertical="center"/>
    </xf>
    <xf numFmtId="41" fontId="4" fillId="2" borderId="79" xfId="1" applyNumberFormat="1" applyFont="1" applyFill="1" applyBorder="1" applyAlignment="1">
      <alignment horizontal="right" vertical="center" shrinkToFit="1"/>
    </xf>
    <xf numFmtId="41" fontId="4" fillId="5" borderId="77" xfId="1" applyNumberFormat="1" applyFont="1" applyFill="1" applyBorder="1" applyAlignment="1">
      <alignment horizontal="right" vertical="center" shrinkToFit="1"/>
    </xf>
    <xf numFmtId="0" fontId="2" fillId="0" borderId="116" xfId="1" applyNumberFormat="1" applyFont="1" applyFill="1" applyBorder="1" applyAlignment="1">
      <alignment horizontal="center" vertical="center" shrinkToFit="1"/>
    </xf>
    <xf numFmtId="0" fontId="2" fillId="0" borderId="134" xfId="1" applyNumberFormat="1" applyFont="1" applyFill="1" applyBorder="1" applyAlignment="1">
      <alignment horizontal="center" vertical="center" shrinkToFit="1"/>
    </xf>
    <xf numFmtId="0" fontId="4" fillId="4" borderId="67" xfId="1" applyNumberFormat="1" applyFont="1" applyFill="1" applyBorder="1" applyAlignment="1">
      <alignment horizontal="center" vertical="center" shrinkToFit="1"/>
    </xf>
    <xf numFmtId="0" fontId="2" fillId="0" borderId="64" xfId="1" applyNumberFormat="1" applyFont="1" applyFill="1" applyBorder="1" applyAlignment="1">
      <alignment horizontal="center" vertical="center" shrinkToFit="1"/>
    </xf>
    <xf numFmtId="0" fontId="4" fillId="2" borderId="17" xfId="1" applyNumberFormat="1" applyFont="1" applyFill="1" applyBorder="1" applyAlignment="1">
      <alignment vertical="center" shrinkToFit="1"/>
    </xf>
    <xf numFmtId="0" fontId="15" fillId="0" borderId="26" xfId="1" applyNumberFormat="1" applyFont="1" applyFill="1" applyBorder="1" applyAlignment="1">
      <alignment horizontal="center" vertical="center" shrinkToFit="1"/>
    </xf>
    <xf numFmtId="0" fontId="15" fillId="0" borderId="134" xfId="1" applyNumberFormat="1" applyFont="1" applyFill="1" applyBorder="1" applyAlignment="1">
      <alignment horizontal="center" vertical="center" shrinkToFit="1"/>
    </xf>
    <xf numFmtId="0" fontId="2" fillId="0" borderId="118" xfId="1" applyNumberFormat="1" applyFont="1" applyFill="1" applyBorder="1" applyAlignment="1">
      <alignment horizontal="center" vertical="center" shrinkToFit="1"/>
    </xf>
    <xf numFmtId="41" fontId="4" fillId="0" borderId="120" xfId="1" applyNumberFormat="1" applyFont="1" applyFill="1" applyBorder="1" applyAlignment="1">
      <alignment horizontal="right" vertical="center" shrinkToFit="1"/>
    </xf>
    <xf numFmtId="41" fontId="2" fillId="0" borderId="133" xfId="1" applyNumberFormat="1" applyFont="1" applyFill="1" applyBorder="1" applyAlignment="1">
      <alignment horizontal="right" vertical="center" shrinkToFit="1"/>
    </xf>
    <xf numFmtId="9" fontId="4" fillId="4" borderId="39" xfId="1" applyNumberFormat="1" applyFont="1" applyFill="1" applyBorder="1" applyAlignment="1">
      <alignment horizontal="right" vertical="center" shrinkToFit="1"/>
    </xf>
    <xf numFmtId="9" fontId="2" fillId="0" borderId="135" xfId="1" applyNumberFormat="1" applyFont="1" applyFill="1" applyBorder="1" applyAlignment="1">
      <alignment horizontal="right" vertical="center"/>
    </xf>
    <xf numFmtId="9" fontId="4" fillId="2" borderId="23" xfId="1" applyNumberFormat="1" applyFont="1" applyFill="1" applyBorder="1" applyAlignment="1">
      <alignment horizontal="right" vertical="center" shrinkToFit="1"/>
    </xf>
    <xf numFmtId="9" fontId="15" fillId="0" borderId="24" xfId="1" applyNumberFormat="1" applyFont="1" applyFill="1" applyBorder="1" applyAlignment="1">
      <alignment horizontal="right" vertical="center" shrinkToFit="1"/>
    </xf>
    <xf numFmtId="9" fontId="2" fillId="0" borderId="41" xfId="1" applyNumberFormat="1" applyFont="1" applyFill="1" applyBorder="1" applyAlignment="1">
      <alignment horizontal="right" vertical="center"/>
    </xf>
    <xf numFmtId="9" fontId="2" fillId="4" borderId="39" xfId="1" applyNumberFormat="1" applyFont="1" applyFill="1" applyBorder="1" applyAlignment="1">
      <alignment horizontal="right" vertical="center"/>
    </xf>
    <xf numFmtId="9" fontId="4" fillId="2" borderId="25" xfId="1" applyNumberFormat="1" applyFont="1" applyFill="1" applyBorder="1" applyAlignment="1">
      <alignment horizontal="right" vertical="center" shrinkToFit="1"/>
    </xf>
    <xf numFmtId="9" fontId="4" fillId="5" borderId="28" xfId="1" applyNumberFormat="1" applyFont="1" applyFill="1" applyBorder="1" applyAlignment="1">
      <alignment horizontal="right" vertical="center" shrinkToFit="1"/>
    </xf>
    <xf numFmtId="41" fontId="2" fillId="0" borderId="120" xfId="1" applyNumberFormat="1" applyFont="1" applyFill="1" applyBorder="1" applyAlignment="1">
      <alignment horizontal="right" vertical="center"/>
    </xf>
    <xf numFmtId="41" fontId="2" fillId="0" borderId="131" xfId="1" applyNumberFormat="1" applyFont="1" applyFill="1" applyBorder="1" applyAlignment="1">
      <alignment horizontal="right" vertical="center"/>
    </xf>
    <xf numFmtId="41" fontId="2" fillId="0" borderId="132" xfId="1" applyNumberFormat="1" applyFont="1" applyFill="1" applyBorder="1" applyAlignment="1">
      <alignment horizontal="right" vertical="center"/>
    </xf>
    <xf numFmtId="41" fontId="2" fillId="4" borderId="119" xfId="1" applyNumberFormat="1" applyFont="1" applyFill="1" applyBorder="1" applyAlignment="1">
      <alignment horizontal="right" vertical="center"/>
    </xf>
    <xf numFmtId="41" fontId="2" fillId="0" borderId="133" xfId="1" applyNumberFormat="1" applyFont="1" applyFill="1" applyBorder="1" applyAlignment="1">
      <alignment horizontal="right" vertical="center"/>
    </xf>
    <xf numFmtId="0" fontId="2" fillId="0" borderId="132" xfId="1" applyNumberFormat="1" applyFont="1" applyFill="1" applyBorder="1" applyAlignment="1" applyProtection="1">
      <alignment horizontal="center" vertical="center" shrinkToFit="1"/>
    </xf>
    <xf numFmtId="0" fontId="2" fillId="0" borderId="105" xfId="1" applyNumberFormat="1" applyFont="1" applyFill="1" applyBorder="1" applyAlignment="1" applyProtection="1">
      <alignment horizontal="center" vertical="center" shrinkToFit="1"/>
    </xf>
    <xf numFmtId="0" fontId="2" fillId="0" borderId="95" xfId="1" applyNumberFormat="1" applyFont="1" applyFill="1" applyBorder="1" applyAlignment="1" applyProtection="1">
      <alignment horizontal="center" vertical="center" shrinkToFit="1"/>
    </xf>
    <xf numFmtId="0" fontId="2" fillId="0" borderId="79" xfId="1" applyNumberFormat="1" applyFont="1" applyFill="1" applyBorder="1" applyAlignment="1" applyProtection="1">
      <alignment vertical="top" shrinkToFit="1"/>
    </xf>
    <xf numFmtId="0" fontId="2" fillId="0" borderId="105" xfId="1" applyNumberFormat="1" applyFont="1" applyFill="1" applyBorder="1" applyAlignment="1" applyProtection="1">
      <alignment vertical="top" shrinkToFit="1"/>
    </xf>
    <xf numFmtId="0" fontId="2" fillId="0" borderId="132" xfId="1" applyNumberFormat="1" applyFont="1" applyFill="1" applyBorder="1" applyAlignment="1" applyProtection="1">
      <alignment horizontal="center" vertical="top" shrinkToFit="1"/>
    </xf>
    <xf numFmtId="0" fontId="2" fillId="0" borderId="136" xfId="1" applyNumberFormat="1" applyFont="1" applyFill="1" applyBorder="1" applyAlignment="1" applyProtection="1">
      <alignment vertical="top" shrinkToFit="1"/>
    </xf>
    <xf numFmtId="3" fontId="2" fillId="0" borderId="133" xfId="1" applyNumberFormat="1" applyFont="1" applyFill="1" applyBorder="1" applyAlignment="1">
      <alignment horizontal="right" vertical="center"/>
    </xf>
    <xf numFmtId="9" fontId="9" fillId="5" borderId="6" xfId="1" applyNumberFormat="1" applyFont="1" applyFill="1" applyBorder="1" applyAlignment="1">
      <alignment horizontal="right" vertical="center"/>
    </xf>
    <xf numFmtId="9" fontId="9" fillId="2" borderId="6" xfId="1" applyNumberFormat="1" applyFont="1" applyFill="1" applyBorder="1" applyAlignment="1">
      <alignment horizontal="right" vertical="center"/>
    </xf>
    <xf numFmtId="9" fontId="8" fillId="2" borderId="6" xfId="1" applyNumberFormat="1" applyFont="1" applyFill="1" applyBorder="1" applyAlignment="1">
      <alignment horizontal="right" vertical="center"/>
    </xf>
    <xf numFmtId="9" fontId="7" fillId="0" borderId="0" xfId="1" applyNumberFormat="1" applyFont="1" applyFill="1" applyBorder="1" applyAlignment="1">
      <alignment horizontal="right" vertical="center"/>
    </xf>
    <xf numFmtId="9" fontId="9" fillId="3" borderId="6" xfId="1" applyNumberFormat="1" applyFont="1" applyFill="1" applyBorder="1" applyAlignment="1">
      <alignment horizontal="right" vertical="center"/>
    </xf>
    <xf numFmtId="9" fontId="7" fillId="0" borderId="8" xfId="1" applyNumberFormat="1" applyFont="1" applyFill="1" applyBorder="1" applyAlignment="1">
      <alignment horizontal="right" vertical="center"/>
    </xf>
    <xf numFmtId="9" fontId="8" fillId="2" borderId="8" xfId="1" applyNumberFormat="1" applyFont="1" applyFill="1" applyBorder="1" applyAlignment="1">
      <alignment horizontal="right" vertical="center"/>
    </xf>
    <xf numFmtId="9" fontId="8" fillId="3" borderId="6" xfId="1" applyNumberFormat="1" applyFont="1" applyFill="1" applyBorder="1" applyAlignment="1">
      <alignment horizontal="right" vertical="center"/>
    </xf>
    <xf numFmtId="0" fontId="8" fillId="2" borderId="36" xfId="1" applyNumberFormat="1" applyFont="1" applyFill="1" applyBorder="1" applyAlignment="1">
      <alignment vertical="center" shrinkToFit="1"/>
    </xf>
    <xf numFmtId="0" fontId="8" fillId="2" borderId="50" xfId="1" applyNumberFormat="1" applyFont="1" applyFill="1" applyBorder="1" applyAlignment="1">
      <alignment vertical="center" shrinkToFit="1"/>
    </xf>
    <xf numFmtId="41" fontId="8" fillId="2" borderId="36" xfId="2" applyNumberFormat="1" applyFont="1" applyFill="1" applyBorder="1" applyAlignment="1">
      <alignment horizontal="right" vertical="center"/>
    </xf>
    <xf numFmtId="9" fontId="8" fillId="5" borderId="16" xfId="2" applyNumberFormat="1" applyFont="1" applyFill="1" applyBorder="1" applyAlignment="1">
      <alignment horizontal="right" vertical="center"/>
    </xf>
    <xf numFmtId="9" fontId="8" fillId="2" borderId="7" xfId="2" applyNumberFormat="1" applyFont="1" applyFill="1" applyBorder="1" applyAlignment="1">
      <alignment horizontal="right" vertical="center"/>
    </xf>
    <xf numFmtId="9" fontId="8" fillId="3" borderId="7" xfId="2" applyNumberFormat="1" applyFont="1" applyFill="1" applyBorder="1" applyAlignment="1">
      <alignment horizontal="right" vertical="center"/>
    </xf>
    <xf numFmtId="9" fontId="8" fillId="3" borderId="17" xfId="2" applyNumberFormat="1" applyFont="1" applyFill="1" applyBorder="1" applyAlignment="1">
      <alignment horizontal="right" vertical="center"/>
    </xf>
    <xf numFmtId="9" fontId="8" fillId="2" borderId="30" xfId="4" applyNumberFormat="1" applyFont="1" applyFill="1" applyBorder="1" applyAlignment="1">
      <alignment horizontal="right" vertical="center"/>
    </xf>
    <xf numFmtId="9" fontId="8" fillId="8" borderId="16" xfId="4" applyNumberFormat="1" applyFont="1" applyFill="1" applyBorder="1" applyAlignment="1">
      <alignment horizontal="right" vertical="center"/>
    </xf>
    <xf numFmtId="9" fontId="8" fillId="2" borderId="11" xfId="2" applyNumberFormat="1" applyFont="1" applyFill="1" applyBorder="1" applyAlignment="1">
      <alignment horizontal="right" vertical="center"/>
    </xf>
    <xf numFmtId="9" fontId="8" fillId="3" borderId="16" xfId="2" applyNumberFormat="1" applyFont="1" applyFill="1" applyBorder="1" applyAlignment="1">
      <alignment horizontal="right" vertical="center"/>
    </xf>
    <xf numFmtId="9" fontId="8" fillId="2" borderId="30" xfId="2" applyNumberFormat="1" applyFont="1" applyFill="1" applyBorder="1" applyAlignment="1">
      <alignment horizontal="right" vertical="center"/>
    </xf>
    <xf numFmtId="9" fontId="8" fillId="3" borderId="35" xfId="2" applyNumberFormat="1" applyFont="1" applyFill="1" applyBorder="1" applyAlignment="1">
      <alignment horizontal="right" vertical="center"/>
    </xf>
    <xf numFmtId="0" fontId="7" fillId="0" borderId="26" xfId="1" applyNumberFormat="1" applyFont="1" applyFill="1" applyBorder="1" applyAlignment="1">
      <alignment horizontal="center" vertical="center" shrinkToFit="1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vertical="center"/>
    </xf>
    <xf numFmtId="0" fontId="7" fillId="0" borderId="4" xfId="1" applyNumberFormat="1" applyFont="1" applyFill="1" applyBorder="1" applyAlignment="1" applyProtection="1">
      <alignment horizontal="center" vertical="center" shrinkToFit="1"/>
    </xf>
    <xf numFmtId="0" fontId="7" fillId="0" borderId="26" xfId="1" applyNumberFormat="1" applyFont="1" applyFill="1" applyBorder="1" applyAlignment="1">
      <alignment horizontal="center" vertical="center" shrinkToFit="1"/>
    </xf>
    <xf numFmtId="0" fontId="25" fillId="0" borderId="0" xfId="1" applyNumberFormat="1" applyFont="1" applyAlignment="1">
      <alignment vertical="center"/>
    </xf>
    <xf numFmtId="0" fontId="26" fillId="0" borderId="0" xfId="1" applyNumberFormat="1" applyFont="1" applyAlignment="1">
      <alignment vertical="center"/>
    </xf>
    <xf numFmtId="41" fontId="19" fillId="0" borderId="0" xfId="4" applyFill="1" applyBorder="1">
      <alignment vertical="center"/>
    </xf>
    <xf numFmtId="41" fontId="27" fillId="0" borderId="80" xfId="4" applyFont="1" applyBorder="1" applyAlignment="1">
      <alignment horizontal="center" vertical="center"/>
    </xf>
    <xf numFmtId="0" fontId="12" fillId="22" borderId="77" xfId="1" applyNumberFormat="1" applyFont="1" applyFill="1" applyBorder="1" applyAlignment="1">
      <alignment horizontal="center" vertical="center"/>
    </xf>
    <xf numFmtId="3" fontId="14" fillId="9" borderId="80" xfId="2" applyNumberFormat="1" applyFont="1" applyFill="1" applyBorder="1" applyAlignment="1">
      <alignment horizontal="center" vertical="center"/>
    </xf>
    <xf numFmtId="3" fontId="14" fillId="11" borderId="80" xfId="2" applyNumberFormat="1" applyFont="1" applyFill="1" applyBorder="1" applyAlignment="1">
      <alignment horizontal="center" vertical="center"/>
    </xf>
    <xf numFmtId="3" fontId="14" fillId="12" borderId="7" xfId="2" applyNumberFormat="1" applyFont="1" applyFill="1" applyBorder="1" applyAlignment="1">
      <alignment horizontal="center" vertical="center"/>
    </xf>
    <xf numFmtId="3" fontId="14" fillId="16" borderId="80" xfId="2" applyNumberFormat="1" applyFont="1" applyFill="1" applyBorder="1" applyAlignment="1">
      <alignment horizontal="center" vertical="center"/>
    </xf>
    <xf numFmtId="3" fontId="14" fillId="21" borderId="7" xfId="2" applyNumberFormat="1" applyFont="1" applyFill="1" applyBorder="1" applyAlignment="1">
      <alignment horizontal="center" vertical="center"/>
    </xf>
    <xf numFmtId="3" fontId="14" fillId="10" borderId="7" xfId="2" applyNumberFormat="1" applyFont="1" applyFill="1" applyBorder="1" applyAlignment="1">
      <alignment horizontal="center" vertical="center"/>
    </xf>
    <xf numFmtId="3" fontId="14" fillId="15" borderId="7" xfId="2" applyNumberFormat="1" applyFont="1" applyFill="1" applyBorder="1" applyAlignment="1">
      <alignment horizontal="center" vertical="center"/>
    </xf>
    <xf numFmtId="3" fontId="14" fillId="18" borderId="7" xfId="2" applyNumberFormat="1" applyFont="1" applyFill="1" applyBorder="1" applyAlignment="1">
      <alignment horizontal="center" vertical="center"/>
    </xf>
    <xf numFmtId="3" fontId="14" fillId="4" borderId="7" xfId="2" applyNumberFormat="1" applyFont="1" applyFill="1" applyBorder="1" applyAlignment="1">
      <alignment horizontal="center" vertical="center"/>
    </xf>
    <xf numFmtId="3" fontId="14" fillId="17" borderId="7" xfId="2" applyNumberFormat="1" applyFont="1" applyFill="1" applyBorder="1" applyAlignment="1">
      <alignment horizontal="center" vertical="center"/>
    </xf>
    <xf numFmtId="3" fontId="14" fillId="20" borderId="7" xfId="2" applyNumberFormat="1" applyFont="1" applyFill="1" applyBorder="1" applyAlignment="1">
      <alignment horizontal="center" vertical="center"/>
    </xf>
    <xf numFmtId="0" fontId="12" fillId="16" borderId="77" xfId="1" applyNumberFormat="1" applyFont="1" applyFill="1" applyBorder="1" applyAlignment="1">
      <alignment horizontal="center" vertical="center"/>
    </xf>
    <xf numFmtId="0" fontId="7" fillId="0" borderId="4" xfId="1" applyNumberFormat="1" applyFont="1" applyFill="1" applyBorder="1" applyAlignment="1" applyProtection="1">
      <alignment horizontal="center" vertical="center" shrinkToFit="1"/>
    </xf>
    <xf numFmtId="0" fontId="7" fillId="0" borderId="0" xfId="1" applyNumberFormat="1" applyFont="1" applyFill="1" applyBorder="1" applyAlignment="1">
      <alignment horizontal="center" vertical="center"/>
    </xf>
    <xf numFmtId="41" fontId="5" fillId="5" borderId="57" xfId="1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0" fontId="25" fillId="0" borderId="0" xfId="0" applyNumberFormat="1" applyFont="1" applyAlignment="1">
      <alignment horizontal="left" vertical="center"/>
    </xf>
    <xf numFmtId="0" fontId="25" fillId="0" borderId="0" xfId="0" applyNumberFormat="1" applyFont="1" applyBorder="1" applyAlignment="1">
      <alignment horizontal="left" vertical="center"/>
    </xf>
    <xf numFmtId="0" fontId="25" fillId="0" borderId="0" xfId="0" applyNumberFormat="1" applyFont="1" applyBorder="1" applyAlignment="1">
      <alignment vertical="center"/>
    </xf>
    <xf numFmtId="0" fontId="25" fillId="0" borderId="0" xfId="0" applyNumberFormat="1" applyFont="1" applyAlignment="1">
      <alignment vertical="center"/>
    </xf>
    <xf numFmtId="0" fontId="7" fillId="0" borderId="0" xfId="1" applyNumberFormat="1" applyFont="1" applyFill="1" applyBorder="1" applyAlignment="1">
      <alignment horizontal="center" vertical="center"/>
    </xf>
    <xf numFmtId="0" fontId="13" fillId="0" borderId="26" xfId="1" applyNumberFormat="1" applyFont="1" applyFill="1" applyBorder="1" applyAlignment="1">
      <alignment horizontal="center" vertical="center" wrapText="1" shrinkToFit="1"/>
    </xf>
    <xf numFmtId="185" fontId="13" fillId="0" borderId="26" xfId="2" applyNumberFormat="1" applyFont="1" applyFill="1" applyBorder="1" applyAlignment="1">
      <alignment horizontal="center" vertical="center"/>
    </xf>
    <xf numFmtId="41" fontId="13" fillId="0" borderId="9" xfId="2" applyNumberFormat="1" applyFont="1" applyFill="1" applyBorder="1" applyAlignment="1">
      <alignment horizontal="right" vertical="center"/>
    </xf>
    <xf numFmtId="0" fontId="13" fillId="0" borderId="0" xfId="1" applyNumberFormat="1" applyFont="1" applyFill="1" applyBorder="1" applyAlignment="1">
      <alignment horizontal="center" vertical="center"/>
    </xf>
    <xf numFmtId="0" fontId="13" fillId="0" borderId="0" xfId="1" applyNumberFormat="1" applyFont="1" applyFill="1" applyAlignment="1">
      <alignment horizontal="center" vertical="center"/>
    </xf>
    <xf numFmtId="0" fontId="13" fillId="0" borderId="4" xfId="1" applyNumberFormat="1" applyFont="1" applyFill="1" applyBorder="1" applyAlignment="1">
      <alignment horizontal="center" vertical="center" shrinkToFit="1"/>
    </xf>
    <xf numFmtId="0" fontId="13" fillId="0" borderId="26" xfId="1" applyNumberFormat="1" applyFont="1" applyFill="1" applyBorder="1" applyAlignment="1">
      <alignment horizontal="center" vertical="center" shrinkToFit="1"/>
    </xf>
    <xf numFmtId="41" fontId="13" fillId="0" borderId="0" xfId="2" applyNumberFormat="1" applyFont="1" applyFill="1" applyBorder="1" applyAlignment="1">
      <alignment horizontal="center" vertical="center"/>
    </xf>
    <xf numFmtId="0" fontId="7" fillId="0" borderId="26" xfId="1" applyNumberFormat="1" applyFont="1" applyFill="1" applyBorder="1" applyAlignment="1">
      <alignment horizontal="center" vertical="center" shrinkToFit="1"/>
    </xf>
    <xf numFmtId="185" fontId="7" fillId="0" borderId="26" xfId="2" applyNumberFormat="1" applyFont="1" applyFill="1" applyBorder="1" applyAlignment="1">
      <alignment horizontal="center" vertical="center"/>
    </xf>
    <xf numFmtId="185" fontId="7" fillId="0" borderId="26" xfId="2" applyNumberFormat="1" applyFont="1" applyFill="1" applyBorder="1" applyAlignment="1">
      <alignment horizontal="right" vertical="center"/>
    </xf>
    <xf numFmtId="0" fontId="7" fillId="0" borderId="9" xfId="1" applyNumberFormat="1" applyFont="1" applyFill="1" applyBorder="1" applyAlignment="1">
      <alignment horizontal="center" vertical="center" shrinkToFit="1"/>
    </xf>
    <xf numFmtId="0" fontId="7" fillId="0" borderId="26" xfId="1" applyNumberFormat="1" applyFont="1" applyFill="1" applyBorder="1" applyAlignment="1">
      <alignment horizontal="center" vertical="center" wrapText="1" shrinkToFit="1"/>
    </xf>
    <xf numFmtId="41" fontId="7" fillId="0" borderId="26" xfId="2" applyNumberFormat="1" applyFont="1" applyFill="1" applyBorder="1" applyAlignment="1">
      <alignment horizontal="right" vertical="center"/>
    </xf>
    <xf numFmtId="41" fontId="7" fillId="0" borderId="9" xfId="2" applyNumberFormat="1" applyFont="1" applyFill="1" applyBorder="1" applyAlignment="1">
      <alignment horizontal="right" vertical="center"/>
    </xf>
    <xf numFmtId="0" fontId="7" fillId="0" borderId="17" xfId="1" applyNumberFormat="1" applyFont="1" applyFill="1" applyBorder="1" applyAlignment="1">
      <alignment horizontal="center" vertical="center" shrinkToFit="1"/>
    </xf>
    <xf numFmtId="0" fontId="7" fillId="0" borderId="26" xfId="1" applyNumberFormat="1" applyFont="1" applyFill="1" applyBorder="1" applyAlignment="1">
      <alignment horizontal="center" vertical="center" shrinkToFit="1"/>
    </xf>
    <xf numFmtId="41" fontId="7" fillId="0" borderId="26" xfId="2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0" fontId="7" fillId="0" borderId="26" xfId="1" applyNumberFormat="1" applyFont="1" applyFill="1" applyBorder="1" applyAlignment="1">
      <alignment horizontal="center" vertical="center" shrinkToFit="1"/>
    </xf>
    <xf numFmtId="41" fontId="31" fillId="5" borderId="7" xfId="2" applyNumberFormat="1" applyFont="1" applyFill="1" applyBorder="1" applyAlignment="1">
      <alignment horizontal="center" vertical="center" shrinkToFit="1"/>
    </xf>
    <xf numFmtId="41" fontId="31" fillId="5" borderId="16" xfId="2" applyNumberFormat="1" applyFont="1" applyFill="1" applyBorder="1" applyAlignment="1">
      <alignment horizontal="center" vertical="center" shrinkToFit="1"/>
    </xf>
    <xf numFmtId="41" fontId="31" fillId="2" borderId="7" xfId="2" applyNumberFormat="1" applyFont="1" applyFill="1" applyBorder="1" applyAlignment="1">
      <alignment horizontal="center" vertical="center" shrinkToFit="1"/>
    </xf>
    <xf numFmtId="0" fontId="32" fillId="0" borderId="0" xfId="1" applyNumberFormat="1" applyFont="1" applyFill="1" applyBorder="1" applyAlignment="1">
      <alignment horizontal="left" vertical="center"/>
    </xf>
    <xf numFmtId="0" fontId="31" fillId="0" borderId="0" xfId="1" applyNumberFormat="1" applyFont="1" applyFill="1" applyBorder="1" applyAlignment="1">
      <alignment horizontal="left" vertical="center"/>
    </xf>
    <xf numFmtId="181" fontId="31" fillId="0" borderId="0" xfId="1" applyNumberFormat="1" applyFont="1" applyFill="1" applyBorder="1" applyAlignment="1">
      <alignment horizontal="right" vertical="center" shrinkToFit="1"/>
    </xf>
    <xf numFmtId="0" fontId="31" fillId="0" borderId="0" xfId="1" applyNumberFormat="1" applyFont="1" applyFill="1" applyBorder="1" applyAlignment="1">
      <alignment horizontal="right" vertical="center" shrinkToFit="1"/>
    </xf>
    <xf numFmtId="0" fontId="31" fillId="0" borderId="12" xfId="1" applyNumberFormat="1" applyFont="1" applyFill="1" applyBorder="1" applyAlignment="1">
      <alignment horizontal="left" vertical="center"/>
    </xf>
    <xf numFmtId="180" fontId="31" fillId="0" borderId="0" xfId="1" applyNumberFormat="1" applyFont="1" applyFill="1" applyBorder="1" applyAlignment="1">
      <alignment horizontal="right" vertical="center" shrinkToFit="1"/>
    </xf>
    <xf numFmtId="41" fontId="31" fillId="3" borderId="35" xfId="2" applyNumberFormat="1" applyFont="1" applyFill="1" applyBorder="1" applyAlignment="1">
      <alignment horizontal="center" vertical="center" shrinkToFit="1"/>
    </xf>
    <xf numFmtId="41" fontId="31" fillId="3" borderId="6" xfId="2" applyNumberFormat="1" applyFont="1" applyFill="1" applyBorder="1" applyAlignment="1">
      <alignment horizontal="center" vertical="center" shrinkToFit="1"/>
    </xf>
    <xf numFmtId="41" fontId="31" fillId="3" borderId="7" xfId="2" applyNumberFormat="1" applyFont="1" applyFill="1" applyBorder="1" applyAlignment="1">
      <alignment horizontal="center" vertical="center" shrinkToFit="1"/>
    </xf>
    <xf numFmtId="0" fontId="32" fillId="0" borderId="8" xfId="1" applyNumberFormat="1" applyFont="1" applyFill="1" applyBorder="1" applyAlignment="1">
      <alignment horizontal="left" vertical="center"/>
    </xf>
    <xf numFmtId="0" fontId="31" fillId="0" borderId="8" xfId="1" applyNumberFormat="1" applyFont="1" applyFill="1" applyBorder="1" applyAlignment="1">
      <alignment horizontal="left" vertical="center"/>
    </xf>
    <xf numFmtId="181" fontId="31" fillId="0" borderId="8" xfId="1" applyNumberFormat="1" applyFont="1" applyFill="1" applyBorder="1" applyAlignment="1">
      <alignment horizontal="right" vertical="center" shrinkToFit="1"/>
    </xf>
    <xf numFmtId="0" fontId="31" fillId="0" borderId="8" xfId="1" applyNumberFormat="1" applyFont="1" applyFill="1" applyBorder="1" applyAlignment="1">
      <alignment horizontal="right" vertical="center" shrinkToFit="1"/>
    </xf>
    <xf numFmtId="180" fontId="31" fillId="0" borderId="8" xfId="1" applyNumberFormat="1" applyFont="1" applyFill="1" applyBorder="1" applyAlignment="1">
      <alignment horizontal="right" vertical="center" shrinkToFit="1"/>
    </xf>
    <xf numFmtId="181" fontId="31" fillId="0" borderId="10" xfId="1" applyNumberFormat="1" applyFont="1" applyFill="1" applyBorder="1" applyAlignment="1">
      <alignment horizontal="right" vertical="center" shrinkToFit="1"/>
    </xf>
    <xf numFmtId="0" fontId="31" fillId="0" borderId="0" xfId="1" applyNumberFormat="1" applyFont="1" applyFill="1" applyBorder="1" applyAlignment="1">
      <alignment horizontal="right" vertical="center"/>
    </xf>
    <xf numFmtId="0" fontId="31" fillId="0" borderId="0" xfId="1" applyNumberFormat="1" applyFont="1" applyFill="1" applyBorder="1" applyAlignment="1">
      <alignment horizontal="center" vertical="center"/>
    </xf>
    <xf numFmtId="0" fontId="7" fillId="0" borderId="26" xfId="1" applyNumberFormat="1" applyFont="1" applyFill="1" applyBorder="1" applyAlignment="1">
      <alignment horizontal="center" vertical="center" shrinkToFit="1"/>
    </xf>
    <xf numFmtId="0" fontId="7" fillId="0" borderId="0" xfId="1" applyNumberFormat="1" applyFont="1" applyFill="1" applyBorder="1" applyAlignment="1">
      <alignment horizontal="center" vertical="center"/>
    </xf>
    <xf numFmtId="0" fontId="31" fillId="0" borderId="0" xfId="1" applyNumberFormat="1" applyFont="1" applyFill="1" applyAlignment="1">
      <alignment horizontal="center" vertical="center"/>
    </xf>
    <xf numFmtId="178" fontId="31" fillId="7" borderId="7" xfId="1" applyNumberFormat="1" applyFont="1" applyFill="1" applyBorder="1" applyAlignment="1">
      <alignment horizontal="center" vertical="center" shrinkToFit="1"/>
    </xf>
    <xf numFmtId="178" fontId="31" fillId="7" borderId="16" xfId="1" applyNumberFormat="1" applyFont="1" applyFill="1" applyBorder="1" applyAlignment="1">
      <alignment horizontal="center" vertical="center" shrinkToFit="1"/>
    </xf>
    <xf numFmtId="41" fontId="31" fillId="6" borderId="35" xfId="2" applyNumberFormat="1" applyFont="1" applyFill="1" applyBorder="1" applyAlignment="1">
      <alignment horizontal="center" vertical="center" shrinkToFit="1"/>
    </xf>
    <xf numFmtId="41" fontId="31" fillId="6" borderId="7" xfId="2" applyNumberFormat="1" applyFont="1" applyFill="1" applyBorder="1" applyAlignment="1">
      <alignment horizontal="center" vertical="center" shrinkToFit="1"/>
    </xf>
    <xf numFmtId="41" fontId="31" fillId="6" borderId="6" xfId="2" applyNumberFormat="1" applyFont="1" applyFill="1" applyBorder="1" applyAlignment="1">
      <alignment horizontal="center" vertical="center" shrinkToFit="1"/>
    </xf>
    <xf numFmtId="41" fontId="31" fillId="2" borderId="35" xfId="2" applyNumberFormat="1" applyFont="1" applyFill="1" applyBorder="1" applyAlignment="1">
      <alignment horizontal="center" vertical="center" shrinkToFit="1"/>
    </xf>
    <xf numFmtId="41" fontId="31" fillId="2" borderId="6" xfId="2" applyNumberFormat="1" applyFont="1" applyFill="1" applyBorder="1" applyAlignment="1">
      <alignment horizontal="center" vertical="center" shrinkToFit="1"/>
    </xf>
    <xf numFmtId="41" fontId="31" fillId="0" borderId="0" xfId="2" applyNumberFormat="1" applyFont="1" applyFill="1" applyBorder="1" applyAlignment="1">
      <alignment horizontal="center" vertical="center" shrinkToFit="1"/>
    </xf>
    <xf numFmtId="41" fontId="31" fillId="0" borderId="8" xfId="2" applyNumberFormat="1" applyFont="1" applyFill="1" applyBorder="1" applyAlignment="1">
      <alignment horizontal="center" vertical="center" shrinkToFit="1"/>
    </xf>
    <xf numFmtId="0" fontId="32" fillId="0" borderId="42" xfId="1" applyNumberFormat="1" applyFont="1" applyFill="1" applyBorder="1" applyAlignment="1">
      <alignment horizontal="left" vertical="center"/>
    </xf>
    <xf numFmtId="176" fontId="31" fillId="0" borderId="8" xfId="1" applyNumberFormat="1" applyFont="1" applyFill="1" applyBorder="1" applyAlignment="1">
      <alignment horizontal="right" vertical="center" shrinkToFit="1"/>
    </xf>
    <xf numFmtId="176" fontId="31" fillId="0" borderId="12" xfId="1" applyNumberFormat="1" applyFont="1" applyFill="1" applyBorder="1" applyAlignment="1">
      <alignment horizontal="right" vertical="center" shrinkToFit="1"/>
    </xf>
    <xf numFmtId="0" fontId="31" fillId="0" borderId="12" xfId="1" applyNumberFormat="1" applyFont="1" applyFill="1" applyBorder="1" applyAlignment="1">
      <alignment horizontal="right" vertical="center" shrinkToFit="1"/>
    </xf>
    <xf numFmtId="180" fontId="31" fillId="0" borderId="12" xfId="1" applyNumberFormat="1" applyFont="1" applyFill="1" applyBorder="1" applyAlignment="1">
      <alignment horizontal="right" vertical="center" shrinkToFit="1"/>
    </xf>
    <xf numFmtId="181" fontId="31" fillId="0" borderId="12" xfId="1" applyNumberFormat="1" applyFont="1" applyFill="1" applyBorder="1" applyAlignment="1">
      <alignment horizontal="right" vertical="center" shrinkToFit="1"/>
    </xf>
    <xf numFmtId="176" fontId="31" fillId="0" borderId="0" xfId="1" applyNumberFormat="1" applyFont="1" applyFill="1" applyBorder="1" applyAlignment="1">
      <alignment horizontal="right" vertical="center" shrinkToFit="1"/>
    </xf>
    <xf numFmtId="41" fontId="31" fillId="0" borderId="73" xfId="2" applyNumberFormat="1" applyFont="1" applyFill="1" applyBorder="1" applyAlignment="1">
      <alignment horizontal="center" vertical="center" shrinkToFit="1"/>
    </xf>
    <xf numFmtId="41" fontId="31" fillId="2" borderId="17" xfId="2" applyNumberFormat="1" applyFont="1" applyFill="1" applyBorder="1" applyAlignment="1">
      <alignment horizontal="center" vertical="center" shrinkToFit="1"/>
    </xf>
    <xf numFmtId="41" fontId="31" fillId="2" borderId="8" xfId="2" applyNumberFormat="1" applyFont="1" applyFill="1" applyBorder="1" applyAlignment="1">
      <alignment horizontal="center" vertical="center" shrinkToFit="1"/>
    </xf>
    <xf numFmtId="3" fontId="31" fillId="0" borderId="8" xfId="1" applyNumberFormat="1" applyFont="1" applyFill="1" applyBorder="1" applyAlignment="1">
      <alignment horizontal="right" vertical="center" shrinkToFit="1"/>
    </xf>
    <xf numFmtId="0" fontId="31" fillId="0" borderId="0" xfId="1" applyNumberFormat="1" applyFont="1" applyFill="1" applyBorder="1" applyAlignment="1">
      <alignment horizontal="left" vertical="center"/>
    </xf>
    <xf numFmtId="3" fontId="31" fillId="0" borderId="0" xfId="1" applyNumberFormat="1" applyFont="1" applyFill="1" applyBorder="1" applyAlignment="1">
      <alignment horizontal="right" vertical="center" shrinkToFit="1"/>
    </xf>
    <xf numFmtId="0" fontId="31" fillId="0" borderId="74" xfId="1" applyNumberFormat="1" applyFont="1" applyFill="1" applyBorder="1" applyAlignment="1">
      <alignment horizontal="left" vertical="center"/>
    </xf>
    <xf numFmtId="0" fontId="32" fillId="0" borderId="74" xfId="1" applyNumberFormat="1" applyFont="1" applyFill="1" applyBorder="1" applyAlignment="1">
      <alignment horizontal="left" vertical="center"/>
    </xf>
    <xf numFmtId="3" fontId="31" fillId="0" borderId="12" xfId="1" applyNumberFormat="1" applyFont="1" applyFill="1" applyBorder="1" applyAlignment="1">
      <alignment horizontal="right" vertical="center" shrinkToFit="1"/>
    </xf>
    <xf numFmtId="0" fontId="31" fillId="0" borderId="74" xfId="1" applyNumberFormat="1" applyFont="1" applyFill="1" applyBorder="1" applyAlignment="1">
      <alignment vertical="center" shrinkToFit="1"/>
    </xf>
    <xf numFmtId="176" fontId="31" fillId="0" borderId="10" xfId="1" applyNumberFormat="1" applyFont="1" applyFill="1" applyBorder="1" applyAlignment="1">
      <alignment horizontal="right" vertical="center" shrinkToFit="1"/>
    </xf>
    <xf numFmtId="0" fontId="31" fillId="0" borderId="10" xfId="1" applyNumberFormat="1" applyFont="1" applyFill="1" applyBorder="1" applyAlignment="1">
      <alignment horizontal="right" vertical="center" shrinkToFit="1"/>
    </xf>
    <xf numFmtId="180" fontId="31" fillId="0" borderId="10" xfId="1" applyNumberFormat="1" applyFont="1" applyFill="1" applyBorder="1" applyAlignment="1">
      <alignment horizontal="right" vertical="center" shrinkToFit="1"/>
    </xf>
    <xf numFmtId="0" fontId="31" fillId="0" borderId="0" xfId="1" applyNumberFormat="1" applyFont="1" applyFill="1" applyAlignment="1">
      <alignment horizontal="right" vertical="center"/>
    </xf>
    <xf numFmtId="0" fontId="13" fillId="0" borderId="0" xfId="1" applyNumberFormat="1" applyFont="1" applyFill="1" applyBorder="1" applyAlignment="1" applyProtection="1">
      <alignment horizontal="left" vertical="center" shrinkToFit="1"/>
    </xf>
    <xf numFmtId="0" fontId="13" fillId="0" borderId="0" xfId="1" applyNumberFormat="1" applyFont="1" applyFill="1" applyBorder="1" applyAlignment="1">
      <alignment horizontal="right" vertical="center" shrinkToFit="1"/>
    </xf>
    <xf numFmtId="180" fontId="13" fillId="0" borderId="0" xfId="1" applyNumberFormat="1" applyFont="1" applyFill="1" applyBorder="1" applyAlignment="1">
      <alignment horizontal="right" vertical="center" shrinkToFit="1"/>
    </xf>
    <xf numFmtId="181" fontId="13" fillId="0" borderId="0" xfId="1" applyNumberFormat="1" applyFont="1" applyFill="1" applyBorder="1" applyAlignment="1">
      <alignment horizontal="right" vertical="center" shrinkToFit="1"/>
    </xf>
    <xf numFmtId="0" fontId="31" fillId="0" borderId="0" xfId="1" applyNumberFormat="1" applyFont="1" applyFill="1" applyBorder="1" applyAlignment="1">
      <alignment horizontal="left" vertical="center"/>
    </xf>
    <xf numFmtId="0" fontId="7" fillId="0" borderId="26" xfId="1" applyNumberFormat="1" applyFont="1" applyFill="1" applyBorder="1" applyAlignment="1">
      <alignment horizontal="center" vertical="center" shrinkToFit="1"/>
    </xf>
    <xf numFmtId="0" fontId="7" fillId="0" borderId="26" xfId="1" applyNumberFormat="1" applyFont="1" applyFill="1" applyBorder="1" applyAlignment="1">
      <alignment horizontal="center" vertical="center" shrinkToFit="1"/>
    </xf>
    <xf numFmtId="0" fontId="7" fillId="0" borderId="26" xfId="1" applyNumberFormat="1" applyFont="1" applyFill="1" applyBorder="1" applyAlignment="1">
      <alignment horizontal="center" vertical="center" shrinkToFit="1"/>
    </xf>
    <xf numFmtId="0" fontId="7" fillId="0" borderId="3" xfId="1" applyNumberFormat="1" applyFont="1" applyFill="1" applyBorder="1" applyAlignment="1">
      <alignment horizontal="center" vertical="center" shrinkToFit="1"/>
    </xf>
    <xf numFmtId="41" fontId="7" fillId="0" borderId="17" xfId="2" applyNumberFormat="1" applyFont="1" applyFill="1" applyBorder="1" applyAlignment="1">
      <alignment horizontal="right" vertical="center"/>
    </xf>
    <xf numFmtId="41" fontId="7" fillId="0" borderId="9" xfId="2" applyNumberFormat="1" applyFont="1" applyFill="1" applyBorder="1" applyAlignment="1">
      <alignment horizontal="right" vertical="center"/>
    </xf>
    <xf numFmtId="0" fontId="7" fillId="0" borderId="26" xfId="1" applyNumberFormat="1" applyFont="1" applyFill="1" applyBorder="1" applyAlignment="1">
      <alignment horizontal="center" vertical="center" shrinkToFit="1"/>
    </xf>
    <xf numFmtId="0" fontId="7" fillId="0" borderId="26" xfId="1" applyNumberFormat="1" applyFont="1" applyFill="1" applyBorder="1" applyAlignment="1">
      <alignment horizontal="center" vertical="center" shrinkToFit="1"/>
    </xf>
    <xf numFmtId="9" fontId="7" fillId="0" borderId="9" xfId="2" applyNumberFormat="1" applyFont="1" applyFill="1" applyBorder="1" applyAlignment="1">
      <alignment horizontal="right" vertical="center"/>
    </xf>
    <xf numFmtId="41" fontId="35" fillId="4" borderId="18" xfId="2" applyNumberFormat="1" applyFont="1" applyFill="1" applyBorder="1" applyAlignment="1">
      <alignment horizontal="center" vertical="center" wrapText="1" shrinkToFit="1"/>
    </xf>
    <xf numFmtId="41" fontId="35" fillId="5" borderId="18" xfId="2" applyNumberFormat="1" applyFont="1" applyFill="1" applyBorder="1" applyAlignment="1">
      <alignment horizontal="center" vertical="center" shrinkToFit="1"/>
    </xf>
    <xf numFmtId="41" fontId="35" fillId="2" borderId="18" xfId="2" applyNumberFormat="1" applyFont="1" applyFill="1" applyBorder="1" applyAlignment="1">
      <alignment horizontal="center" vertical="center" shrinkToFit="1"/>
    </xf>
    <xf numFmtId="41" fontId="35" fillId="3" borderId="18" xfId="2" applyNumberFormat="1" applyFont="1" applyFill="1" applyBorder="1" applyAlignment="1">
      <alignment horizontal="center" vertical="center" shrinkToFit="1"/>
    </xf>
    <xf numFmtId="41" fontId="36" fillId="6" borderId="23" xfId="2" applyNumberFormat="1" applyFont="1" applyFill="1" applyBorder="1" applyAlignment="1">
      <alignment horizontal="right" vertical="center" shrinkToFit="1"/>
    </xf>
    <xf numFmtId="41" fontId="36" fillId="0" borderId="24" xfId="2" applyNumberFormat="1" applyFont="1" applyFill="1" applyBorder="1" applyAlignment="1">
      <alignment horizontal="right" vertical="center" shrinkToFit="1"/>
    </xf>
    <xf numFmtId="41" fontId="35" fillId="0" borderId="24" xfId="2" applyNumberFormat="1" applyFont="1" applyFill="1" applyBorder="1" applyAlignment="1">
      <alignment horizontal="right" vertical="center" shrinkToFit="1"/>
    </xf>
    <xf numFmtId="41" fontId="35" fillId="27" borderId="24" xfId="2" applyNumberFormat="1" applyFont="1" applyFill="1" applyBorder="1" applyAlignment="1">
      <alignment horizontal="right" vertical="center" shrinkToFit="1"/>
    </xf>
    <xf numFmtId="41" fontId="35" fillId="9" borderId="24" xfId="2" applyNumberFormat="1" applyFont="1" applyFill="1" applyBorder="1" applyAlignment="1">
      <alignment horizontal="right" vertical="center" shrinkToFit="1"/>
    </xf>
    <xf numFmtId="41" fontId="35" fillId="9" borderId="25" xfId="2" applyNumberFormat="1" applyFont="1" applyFill="1" applyBorder="1" applyAlignment="1">
      <alignment horizontal="right" vertical="center" shrinkToFit="1"/>
    </xf>
    <xf numFmtId="41" fontId="35" fillId="10" borderId="24" xfId="2" applyNumberFormat="1" applyFont="1" applyFill="1" applyBorder="1" applyAlignment="1">
      <alignment horizontal="right" vertical="center" shrinkToFit="1"/>
    </xf>
    <xf numFmtId="41" fontId="35" fillId="16" borderId="81" xfId="2" applyNumberFormat="1" applyFont="1" applyFill="1" applyBorder="1" applyAlignment="1">
      <alignment horizontal="right" vertical="center" shrinkToFit="1"/>
    </xf>
    <xf numFmtId="41" fontId="35" fillId="16" borderId="107" xfId="2" applyNumberFormat="1" applyFont="1" applyFill="1" applyBorder="1" applyAlignment="1">
      <alignment horizontal="right" vertical="center" shrinkToFit="1"/>
    </xf>
    <xf numFmtId="41" fontId="35" fillId="26" borderId="24" xfId="2" applyNumberFormat="1" applyFont="1" applyFill="1" applyBorder="1" applyAlignment="1">
      <alignment horizontal="right" vertical="center" shrinkToFit="1"/>
    </xf>
    <xf numFmtId="41" fontId="35" fillId="16" borderId="24" xfId="2" applyNumberFormat="1" applyFont="1" applyFill="1" applyBorder="1" applyAlignment="1">
      <alignment horizontal="right" vertical="center" shrinkToFit="1"/>
    </xf>
    <xf numFmtId="41" fontId="35" fillId="13" borderId="24" xfId="2" applyNumberFormat="1" applyFont="1" applyFill="1" applyBorder="1" applyAlignment="1">
      <alignment horizontal="right" vertical="center" shrinkToFit="1"/>
    </xf>
    <xf numFmtId="41" fontId="35" fillId="18" borderId="24" xfId="2" applyNumberFormat="1" applyFont="1" applyFill="1" applyBorder="1" applyAlignment="1">
      <alignment horizontal="right" vertical="center" shrinkToFit="1"/>
    </xf>
    <xf numFmtId="185" fontId="35" fillId="12" borderId="24" xfId="2" applyNumberFormat="1" applyFont="1" applyFill="1" applyBorder="1" applyAlignment="1">
      <alignment horizontal="right" vertical="center" shrinkToFit="1"/>
    </xf>
    <xf numFmtId="185" fontId="35" fillId="21" borderId="24" xfId="2" applyNumberFormat="1" applyFont="1" applyFill="1" applyBorder="1" applyAlignment="1">
      <alignment horizontal="right" vertical="center" shrinkToFit="1"/>
    </xf>
    <xf numFmtId="185" fontId="35" fillId="16" borderId="24" xfId="2" applyNumberFormat="1" applyFont="1" applyFill="1" applyBorder="1" applyAlignment="1">
      <alignment horizontal="right" vertical="center" shrinkToFit="1"/>
    </xf>
    <xf numFmtId="41" fontId="35" fillId="14" borderId="24" xfId="2" applyNumberFormat="1" applyFont="1" applyFill="1" applyBorder="1" applyAlignment="1">
      <alignment horizontal="right" vertical="center" shrinkToFit="1"/>
    </xf>
    <xf numFmtId="41" fontId="35" fillId="15" borderId="24" xfId="2" applyNumberFormat="1" applyFont="1" applyFill="1" applyBorder="1" applyAlignment="1">
      <alignment horizontal="right" vertical="center" shrinkToFit="1"/>
    </xf>
    <xf numFmtId="41" fontId="35" fillId="23" borderId="24" xfId="2" applyNumberFormat="1" applyFont="1" applyFill="1" applyBorder="1" applyAlignment="1">
      <alignment horizontal="right" vertical="center" shrinkToFit="1"/>
    </xf>
    <xf numFmtId="41" fontId="35" fillId="3" borderId="33" xfId="2" applyNumberFormat="1" applyFont="1" applyFill="1" applyBorder="1" applyAlignment="1">
      <alignment horizontal="center" vertical="center" shrinkToFit="1"/>
    </xf>
    <xf numFmtId="41" fontId="36" fillId="6" borderId="96" xfId="2" applyNumberFormat="1" applyFont="1" applyFill="1" applyBorder="1" applyAlignment="1">
      <alignment horizontal="right" vertical="center" shrinkToFit="1"/>
    </xf>
    <xf numFmtId="185" fontId="35" fillId="24" borderId="24" xfId="2" applyNumberFormat="1" applyFont="1" applyFill="1" applyBorder="1" applyAlignment="1">
      <alignment horizontal="right" vertical="center" shrinkToFit="1"/>
    </xf>
    <xf numFmtId="41" fontId="35" fillId="25" borderId="24" xfId="2" applyNumberFormat="1" applyFont="1" applyFill="1" applyBorder="1" applyAlignment="1">
      <alignment horizontal="right" vertical="center" shrinkToFit="1"/>
    </xf>
    <xf numFmtId="41" fontId="35" fillId="2" borderId="22" xfId="2" applyNumberFormat="1" applyFont="1" applyFill="1" applyBorder="1" applyAlignment="1">
      <alignment horizontal="center" vertical="center" shrinkToFit="1"/>
    </xf>
    <xf numFmtId="185" fontId="35" fillId="3" borderId="18" xfId="2" applyNumberFormat="1" applyFont="1" applyFill="1" applyBorder="1" applyAlignment="1">
      <alignment horizontal="center" vertical="center" shrinkToFit="1"/>
    </xf>
    <xf numFmtId="41" fontId="35" fillId="0" borderId="25" xfId="2" applyNumberFormat="1" applyFont="1" applyFill="1" applyBorder="1" applyAlignment="1">
      <alignment horizontal="right" vertical="center" shrinkToFit="1"/>
    </xf>
    <xf numFmtId="41" fontId="35" fillId="25" borderId="107" xfId="2" applyNumberFormat="1" applyFont="1" applyFill="1" applyBorder="1" applyAlignment="1">
      <alignment horizontal="right" vertical="center" shrinkToFit="1"/>
    </xf>
    <xf numFmtId="41" fontId="36" fillId="6" borderId="107" xfId="2" applyNumberFormat="1" applyFont="1" applyFill="1" applyBorder="1" applyAlignment="1">
      <alignment horizontal="right" vertical="center" shrinkToFit="1"/>
    </xf>
    <xf numFmtId="41" fontId="35" fillId="0" borderId="81" xfId="2" applyNumberFormat="1" applyFont="1" applyFill="1" applyBorder="1" applyAlignment="1">
      <alignment horizontal="right" vertical="center" shrinkToFit="1"/>
    </xf>
    <xf numFmtId="41" fontId="35" fillId="28" borderId="81" xfId="2" applyNumberFormat="1" applyFont="1" applyFill="1" applyBorder="1" applyAlignment="1">
      <alignment horizontal="right" vertical="center" shrinkToFit="1"/>
    </xf>
    <xf numFmtId="41" fontId="35" fillId="19" borderId="15" xfId="2" applyNumberFormat="1" applyFont="1" applyFill="1" applyBorder="1" applyAlignment="1">
      <alignment horizontal="right" vertical="center" shrinkToFit="1"/>
    </xf>
    <xf numFmtId="41" fontId="35" fillId="2" borderId="57" xfId="2" applyNumberFormat="1" applyFont="1" applyFill="1" applyBorder="1" applyAlignment="1">
      <alignment horizontal="center" vertical="center" shrinkToFit="1"/>
    </xf>
    <xf numFmtId="41" fontId="36" fillId="6" borderId="28" xfId="2" applyNumberFormat="1" applyFont="1" applyFill="1" applyBorder="1" applyAlignment="1">
      <alignment horizontal="right" vertical="center" shrinkToFit="1"/>
    </xf>
    <xf numFmtId="41" fontId="35" fillId="0" borderId="28" xfId="4" applyNumberFormat="1" applyFont="1" applyFill="1" applyBorder="1" applyAlignment="1">
      <alignment horizontal="right" vertical="center" shrinkToFit="1"/>
    </xf>
    <xf numFmtId="41" fontId="35" fillId="0" borderId="24" xfId="4" applyNumberFormat="1" applyFont="1" applyFill="1" applyBorder="1" applyAlignment="1">
      <alignment horizontal="right" vertical="center" shrinkToFit="1"/>
    </xf>
    <xf numFmtId="41" fontId="35" fillId="2" borderId="27" xfId="2" applyNumberFormat="1" applyFont="1" applyFill="1" applyBorder="1" applyAlignment="1">
      <alignment horizontal="center" vertical="center" shrinkToFit="1"/>
    </xf>
    <xf numFmtId="185" fontId="35" fillId="3" borderId="33" xfId="2" applyNumberFormat="1" applyFont="1" applyFill="1" applyBorder="1" applyAlignment="1">
      <alignment horizontal="center" vertical="center" shrinkToFit="1"/>
    </xf>
    <xf numFmtId="41" fontId="35" fillId="0" borderId="105" xfId="2" applyNumberFormat="1" applyFont="1" applyFill="1" applyBorder="1" applyAlignment="1">
      <alignment horizontal="right" vertical="center" shrinkToFit="1"/>
    </xf>
    <xf numFmtId="41" fontId="35" fillId="0" borderId="150" xfId="2" applyNumberFormat="1" applyFont="1" applyFill="1" applyBorder="1" applyAlignment="1">
      <alignment horizontal="right" vertical="center" shrinkToFit="1"/>
    </xf>
    <xf numFmtId="41" fontId="35" fillId="0" borderId="0" xfId="2" applyNumberFormat="1" applyFont="1" applyFill="1" applyBorder="1" applyAlignment="1">
      <alignment horizontal="right" vertical="center" shrinkToFit="1"/>
    </xf>
    <xf numFmtId="41" fontId="35" fillId="0" borderId="0" xfId="2" applyNumberFormat="1" applyFont="1" applyFill="1" applyBorder="1" applyAlignment="1">
      <alignment horizontal="right" vertical="center"/>
    </xf>
    <xf numFmtId="41" fontId="37" fillId="0" borderId="0" xfId="2" applyNumberFormat="1" applyFont="1" applyFill="1" applyAlignment="1">
      <alignment horizontal="center" vertical="center"/>
    </xf>
    <xf numFmtId="41" fontId="37" fillId="0" borderId="0" xfId="2" applyNumberFormat="1" applyFont="1" applyFill="1" applyAlignment="1">
      <alignment horizontal="right" vertical="center"/>
    </xf>
    <xf numFmtId="41" fontId="36" fillId="22" borderId="148" xfId="2" applyNumberFormat="1" applyFont="1" applyFill="1" applyBorder="1" applyAlignment="1">
      <alignment horizontal="right" vertical="center" shrinkToFit="1"/>
    </xf>
    <xf numFmtId="0" fontId="35" fillId="0" borderId="0" xfId="2" applyNumberFormat="1" applyFont="1" applyFill="1" applyAlignment="1">
      <alignment horizontal="center" vertical="center"/>
    </xf>
    <xf numFmtId="179" fontId="35" fillId="7" borderId="18" xfId="1" applyNumberFormat="1" applyFont="1" applyFill="1" applyBorder="1" applyAlignment="1">
      <alignment horizontal="center" vertical="center" shrinkToFit="1"/>
    </xf>
    <xf numFmtId="41" fontId="35" fillId="6" borderId="18" xfId="2" applyNumberFormat="1" applyFont="1" applyFill="1" applyBorder="1" applyAlignment="1">
      <alignment horizontal="center" vertical="center" shrinkToFit="1"/>
    </xf>
    <xf numFmtId="41" fontId="36" fillId="0" borderId="28" xfId="2" applyNumberFormat="1" applyFont="1" applyFill="1" applyBorder="1" applyAlignment="1">
      <alignment horizontal="right" vertical="center" shrinkToFit="1"/>
    </xf>
    <xf numFmtId="3" fontId="36" fillId="0" borderId="28" xfId="2" applyNumberFormat="1" applyFont="1" applyFill="1" applyBorder="1" applyAlignment="1">
      <alignment horizontal="right" vertical="center" shrinkToFit="1"/>
    </xf>
    <xf numFmtId="3" fontId="35" fillId="0" borderId="25" xfId="2" applyNumberFormat="1" applyFont="1" applyFill="1" applyBorder="1" applyAlignment="1">
      <alignment horizontal="right" vertical="center" shrinkToFit="1"/>
    </xf>
    <xf numFmtId="41" fontId="35" fillId="2" borderId="18" xfId="2" applyNumberFormat="1" applyFont="1" applyFill="1" applyBorder="1" applyAlignment="1">
      <alignment horizontal="right" vertical="center" shrinkToFit="1"/>
    </xf>
    <xf numFmtId="41" fontId="35" fillId="3" borderId="18" xfId="2" applyNumberFormat="1" applyFont="1" applyFill="1" applyBorder="1" applyAlignment="1">
      <alignment horizontal="right" vertical="center" shrinkToFit="1"/>
    </xf>
    <xf numFmtId="3" fontId="35" fillId="0" borderId="24" xfId="2" applyNumberFormat="1" applyFont="1" applyFill="1" applyBorder="1" applyAlignment="1">
      <alignment horizontal="right" vertical="center" shrinkToFit="1"/>
    </xf>
    <xf numFmtId="3" fontId="35" fillId="23" borderId="24" xfId="2" applyNumberFormat="1" applyFont="1" applyFill="1" applyBorder="1" applyAlignment="1">
      <alignment horizontal="right" vertical="center" shrinkToFit="1"/>
    </xf>
    <xf numFmtId="41" fontId="35" fillId="6" borderId="18" xfId="2" applyNumberFormat="1" applyFont="1" applyFill="1" applyBorder="1" applyAlignment="1">
      <alignment horizontal="right" vertical="center" shrinkToFit="1"/>
    </xf>
    <xf numFmtId="41" fontId="35" fillId="0" borderId="25" xfId="2" applyNumberFormat="1" applyFont="1" applyFill="1" applyBorder="1" applyAlignment="1" applyProtection="1">
      <alignment horizontal="right" vertical="center" shrinkToFit="1"/>
    </xf>
    <xf numFmtId="41" fontId="35" fillId="0" borderId="81" xfId="2" applyNumberFormat="1" applyFont="1" applyFill="1" applyBorder="1" applyAlignment="1" applyProtection="1">
      <alignment horizontal="right" vertical="center" shrinkToFit="1"/>
    </xf>
    <xf numFmtId="41" fontId="35" fillId="2" borderId="33" xfId="2" applyNumberFormat="1" applyFont="1" applyFill="1" applyBorder="1" applyAlignment="1">
      <alignment horizontal="right" vertical="center" shrinkToFit="1"/>
    </xf>
    <xf numFmtId="3" fontId="36" fillId="0" borderId="24" xfId="2" applyNumberFormat="1" applyFont="1" applyFill="1" applyBorder="1" applyAlignment="1">
      <alignment horizontal="right" vertical="center" shrinkToFit="1"/>
    </xf>
    <xf numFmtId="3" fontId="35" fillId="0" borderId="15" xfId="2" applyNumberFormat="1" applyFont="1" applyFill="1" applyBorder="1" applyAlignment="1">
      <alignment horizontal="right" vertical="center" shrinkToFit="1"/>
    </xf>
    <xf numFmtId="0" fontId="35" fillId="0" borderId="0" xfId="2" applyNumberFormat="1" applyFont="1" applyFill="1" applyBorder="1" applyAlignment="1">
      <alignment horizontal="right" vertical="center"/>
    </xf>
    <xf numFmtId="0" fontId="35" fillId="0" borderId="0" xfId="2" applyNumberFormat="1" applyFont="1" applyFill="1" applyAlignment="1">
      <alignment horizontal="right" vertical="center"/>
    </xf>
    <xf numFmtId="41" fontId="35" fillId="4" borderId="16" xfId="2" applyNumberFormat="1" applyFont="1" applyFill="1" applyBorder="1" applyAlignment="1">
      <alignment horizontal="center" vertical="center" shrinkToFit="1"/>
    </xf>
    <xf numFmtId="41" fontId="35" fillId="5" borderId="16" xfId="2" applyNumberFormat="1" applyFont="1" applyFill="1" applyBorder="1" applyAlignment="1">
      <alignment horizontal="center" vertical="center" shrinkToFit="1"/>
    </xf>
    <xf numFmtId="41" fontId="35" fillId="2" borderId="16" xfId="2" applyNumberFormat="1" applyFont="1" applyFill="1" applyBorder="1" applyAlignment="1">
      <alignment horizontal="center" vertical="center" shrinkToFit="1"/>
    </xf>
    <xf numFmtId="41" fontId="35" fillId="3" borderId="16" xfId="2" applyNumberFormat="1" applyFont="1" applyFill="1" applyBorder="1" applyAlignment="1">
      <alignment horizontal="center" vertical="center" shrinkToFit="1"/>
    </xf>
    <xf numFmtId="0" fontId="35" fillId="0" borderId="3" xfId="1" applyNumberFormat="1" applyFont="1" applyFill="1" applyBorder="1" applyAlignment="1">
      <alignment vertical="center" shrinkToFit="1"/>
    </xf>
    <xf numFmtId="0" fontId="36" fillId="0" borderId="6" xfId="1" applyNumberFormat="1" applyFont="1" applyFill="1" applyBorder="1" applyAlignment="1">
      <alignment vertical="center"/>
    </xf>
    <xf numFmtId="0" fontId="36" fillId="0" borderId="6" xfId="1" applyNumberFormat="1" applyFont="1" applyFill="1" applyBorder="1" applyAlignment="1">
      <alignment horizontal="left" vertical="center"/>
    </xf>
    <xf numFmtId="41" fontId="36" fillId="0" borderId="6" xfId="2" applyNumberFormat="1" applyFont="1" applyFill="1" applyBorder="1" applyAlignment="1">
      <alignment horizontal="right" vertical="center" shrinkToFit="1"/>
    </xf>
    <xf numFmtId="180" fontId="36" fillId="0" borderId="6" xfId="1" applyNumberFormat="1" applyFont="1" applyFill="1" applyBorder="1" applyAlignment="1">
      <alignment horizontal="right" vertical="center" shrinkToFit="1"/>
    </xf>
    <xf numFmtId="0" fontId="36" fillId="0" borderId="6" xfId="1" applyNumberFormat="1" applyFont="1" applyFill="1" applyBorder="1" applyAlignment="1">
      <alignment horizontal="right" vertical="center" shrinkToFit="1"/>
    </xf>
    <xf numFmtId="9" fontId="36" fillId="0" borderId="6" xfId="3" applyNumberFormat="1" applyFont="1" applyFill="1" applyBorder="1" applyAlignment="1">
      <alignment horizontal="right" vertical="center" shrinkToFit="1"/>
    </xf>
    <xf numFmtId="0" fontId="35" fillId="0" borderId="9" xfId="0" applyNumberFormat="1" applyFont="1" applyFill="1" applyBorder="1" applyAlignment="1">
      <alignment vertical="center" shrinkToFit="1"/>
    </xf>
    <xf numFmtId="0" fontId="36" fillId="0" borderId="0" xfId="1" applyNumberFormat="1" applyFont="1" applyFill="1" applyBorder="1" applyAlignment="1">
      <alignment vertical="center"/>
    </xf>
    <xf numFmtId="0" fontId="36" fillId="0" borderId="0" xfId="1" applyNumberFormat="1" applyFont="1" applyFill="1" applyBorder="1" applyAlignment="1">
      <alignment horizontal="left" vertical="center"/>
    </xf>
    <xf numFmtId="41" fontId="36" fillId="0" borderId="0" xfId="2" applyNumberFormat="1" applyFont="1" applyFill="1" applyBorder="1" applyAlignment="1">
      <alignment horizontal="right" vertical="center" shrinkToFit="1"/>
    </xf>
    <xf numFmtId="9" fontId="36" fillId="0" borderId="0" xfId="3" applyNumberFormat="1" applyFont="1" applyFill="1" applyBorder="1" applyAlignment="1">
      <alignment horizontal="right" vertical="center" shrinkToFit="1"/>
    </xf>
    <xf numFmtId="0" fontId="35" fillId="0" borderId="0" xfId="0" applyNumberFormat="1" applyFont="1" applyFill="1" applyBorder="1" applyAlignment="1">
      <alignment horizontal="left" vertical="center"/>
    </xf>
    <xf numFmtId="41" fontId="35" fillId="0" borderId="0" xfId="4" applyNumberFormat="1" applyFont="1" applyFill="1" applyBorder="1" applyAlignment="1">
      <alignment horizontal="right" vertical="center" shrinkToFit="1"/>
    </xf>
    <xf numFmtId="181" fontId="35" fillId="0" borderId="0" xfId="0" applyNumberFormat="1" applyFont="1" applyFill="1" applyBorder="1" applyAlignment="1">
      <alignment horizontal="right" vertical="center" shrinkToFit="1"/>
    </xf>
    <xf numFmtId="0" fontId="35" fillId="0" borderId="0" xfId="1" applyNumberFormat="1" applyFont="1" applyFill="1" applyBorder="1" applyAlignment="1">
      <alignment vertical="center"/>
    </xf>
    <xf numFmtId="0" fontId="35" fillId="27" borderId="0" xfId="0" applyNumberFormat="1" applyFont="1" applyFill="1" applyBorder="1" applyAlignment="1">
      <alignment horizontal="left" vertical="center"/>
    </xf>
    <xf numFmtId="0" fontId="36" fillId="9" borderId="0" xfId="1" applyNumberFormat="1" applyFont="1" applyFill="1" applyBorder="1" applyAlignment="1">
      <alignment horizontal="left" vertical="center"/>
    </xf>
    <xf numFmtId="41" fontId="35" fillId="9" borderId="0" xfId="4" applyNumberFormat="1" applyFont="1" applyFill="1" applyBorder="1" applyAlignment="1">
      <alignment horizontal="right" vertical="center" shrinkToFit="1"/>
    </xf>
    <xf numFmtId="181" fontId="35" fillId="9" borderId="0" xfId="0" applyNumberFormat="1" applyFont="1" applyFill="1" applyBorder="1" applyAlignment="1">
      <alignment horizontal="right" vertical="center" shrinkToFit="1"/>
    </xf>
    <xf numFmtId="0" fontId="35" fillId="9" borderId="0" xfId="1" applyNumberFormat="1" applyFont="1" applyFill="1" applyBorder="1" applyAlignment="1">
      <alignment horizontal="left" vertical="center"/>
    </xf>
    <xf numFmtId="0" fontId="35" fillId="9" borderId="0" xfId="0" applyNumberFormat="1" applyFont="1" applyFill="1" applyBorder="1" applyAlignment="1">
      <alignment horizontal="left" vertical="center"/>
    </xf>
    <xf numFmtId="0" fontId="36" fillId="9" borderId="12" xfId="1" applyNumberFormat="1" applyFont="1" applyFill="1" applyBorder="1" applyAlignment="1">
      <alignment horizontal="left" vertical="center"/>
    </xf>
    <xf numFmtId="41" fontId="35" fillId="9" borderId="12" xfId="4" applyNumberFormat="1" applyFont="1" applyFill="1" applyBorder="1" applyAlignment="1">
      <alignment horizontal="right" vertical="center" shrinkToFit="1"/>
    </xf>
    <xf numFmtId="0" fontId="35" fillId="12" borderId="0" xfId="0" applyNumberFormat="1" applyFont="1" applyFill="1" applyBorder="1" applyAlignment="1">
      <alignment horizontal="left" vertical="center"/>
    </xf>
    <xf numFmtId="0" fontId="35" fillId="12" borderId="0" xfId="1" applyNumberFormat="1" applyFont="1" applyFill="1" applyBorder="1" applyAlignment="1">
      <alignment horizontal="right" vertical="center" shrinkToFit="1"/>
    </xf>
    <xf numFmtId="0" fontId="35" fillId="12" borderId="0" xfId="1" applyNumberFormat="1" applyFont="1" applyFill="1" applyBorder="1" applyAlignment="1">
      <alignment horizontal="left" vertical="center"/>
    </xf>
    <xf numFmtId="0" fontId="35" fillId="21" borderId="0" xfId="0" applyNumberFormat="1" applyFont="1" applyFill="1" applyBorder="1" applyAlignment="1">
      <alignment horizontal="left" vertical="center"/>
    </xf>
    <xf numFmtId="0" fontId="35" fillId="21" borderId="0" xfId="1" applyNumberFormat="1" applyFont="1" applyFill="1" applyBorder="1" applyAlignment="1">
      <alignment horizontal="right" vertical="center" shrinkToFit="1"/>
    </xf>
    <xf numFmtId="0" fontId="35" fillId="16" borderId="9" xfId="0" applyNumberFormat="1" applyFont="1" applyFill="1" applyBorder="1" applyAlignment="1">
      <alignment vertical="center" shrinkToFit="1"/>
    </xf>
    <xf numFmtId="0" fontId="35" fillId="16" borderId="0" xfId="1" applyNumberFormat="1" applyFont="1" applyFill="1" applyBorder="1" applyAlignment="1">
      <alignment vertical="center"/>
    </xf>
    <xf numFmtId="0" fontId="35" fillId="16" borderId="0" xfId="1" applyNumberFormat="1" applyFont="1" applyFill="1" applyBorder="1" applyAlignment="1">
      <alignment horizontal="left" vertical="center"/>
    </xf>
    <xf numFmtId="41" fontId="35" fillId="16" borderId="0" xfId="4" applyNumberFormat="1" applyFont="1" applyFill="1" applyBorder="1" applyAlignment="1">
      <alignment horizontal="right" vertical="center" shrinkToFit="1"/>
    </xf>
    <xf numFmtId="181" fontId="35" fillId="16" borderId="0" xfId="0" applyNumberFormat="1" applyFont="1" applyFill="1" applyBorder="1" applyAlignment="1">
      <alignment horizontal="right" vertical="center" shrinkToFit="1"/>
    </xf>
    <xf numFmtId="0" fontId="35" fillId="16" borderId="0" xfId="1" applyNumberFormat="1" applyFont="1" applyFill="1" applyBorder="1" applyAlignment="1">
      <alignment horizontal="right" vertical="center" shrinkToFit="1"/>
    </xf>
    <xf numFmtId="3" fontId="35" fillId="16" borderId="0" xfId="1" applyNumberFormat="1" applyFont="1" applyFill="1" applyBorder="1" applyAlignment="1">
      <alignment horizontal="right" vertical="center" shrinkToFit="1"/>
    </xf>
    <xf numFmtId="0" fontId="35" fillId="16" borderId="12" xfId="1" applyNumberFormat="1" applyFont="1" applyFill="1" applyBorder="1" applyAlignment="1">
      <alignment vertical="center"/>
    </xf>
    <xf numFmtId="0" fontId="35" fillId="16" borderId="12" xfId="1" applyNumberFormat="1" applyFont="1" applyFill="1" applyBorder="1" applyAlignment="1">
      <alignment horizontal="left" vertical="center"/>
    </xf>
    <xf numFmtId="41" fontId="35" fillId="16" borderId="12" xfId="4" applyNumberFormat="1" applyFont="1" applyFill="1" applyBorder="1" applyAlignment="1">
      <alignment horizontal="right" vertical="center" shrinkToFit="1"/>
    </xf>
    <xf numFmtId="181" fontId="35" fillId="16" borderId="12" xfId="0" applyNumberFormat="1" applyFont="1" applyFill="1" applyBorder="1" applyAlignment="1">
      <alignment horizontal="right" vertical="center" shrinkToFit="1"/>
    </xf>
    <xf numFmtId="0" fontId="35" fillId="16" borderId="12" xfId="1" applyNumberFormat="1" applyFont="1" applyFill="1" applyBorder="1" applyAlignment="1">
      <alignment horizontal="right" vertical="center" shrinkToFit="1"/>
    </xf>
    <xf numFmtId="3" fontId="35" fillId="16" borderId="12" xfId="1" applyNumberFormat="1" applyFont="1" applyFill="1" applyBorder="1" applyAlignment="1">
      <alignment horizontal="right" vertical="center" shrinkToFit="1"/>
    </xf>
    <xf numFmtId="0" fontId="35" fillId="0" borderId="6" xfId="1" applyNumberFormat="1" applyFont="1" applyFill="1" applyBorder="1" applyAlignment="1">
      <alignment horizontal="left" vertical="center"/>
    </xf>
    <xf numFmtId="41" fontId="35" fillId="0" borderId="6" xfId="2" applyNumberFormat="1" applyFont="1" applyFill="1" applyBorder="1" applyAlignment="1">
      <alignment horizontal="right" vertical="center" shrinkToFit="1"/>
    </xf>
    <xf numFmtId="181" fontId="35" fillId="0" borderId="6" xfId="1" applyNumberFormat="1" applyFont="1" applyFill="1" applyBorder="1" applyAlignment="1">
      <alignment horizontal="right" vertical="center" shrinkToFit="1"/>
    </xf>
    <xf numFmtId="0" fontId="35" fillId="0" borderId="6" xfId="1" applyNumberFormat="1" applyFont="1" applyFill="1" applyBorder="1" applyAlignment="1">
      <alignment horizontal="right" vertical="center" shrinkToFit="1"/>
    </xf>
    <xf numFmtId="0" fontId="35" fillId="0" borderId="0" xfId="1" applyNumberFormat="1" applyFont="1" applyFill="1" applyBorder="1" applyAlignment="1">
      <alignment horizontal="left" vertical="center"/>
    </xf>
    <xf numFmtId="181" fontId="35" fillId="0" borderId="0" xfId="1" applyNumberFormat="1" applyFont="1" applyFill="1" applyBorder="1" applyAlignment="1">
      <alignment horizontal="right" vertical="center" shrinkToFit="1"/>
    </xf>
    <xf numFmtId="0" fontId="35" fillId="0" borderId="0" xfId="1" applyNumberFormat="1" applyFont="1" applyFill="1" applyBorder="1" applyAlignment="1">
      <alignment horizontal="right" vertical="center" shrinkToFit="1"/>
    </xf>
    <xf numFmtId="9" fontId="35" fillId="0" borderId="0" xfId="1" applyNumberFormat="1" applyFont="1" applyFill="1" applyBorder="1" applyAlignment="1" applyProtection="1">
      <alignment horizontal="right" vertical="center" shrinkToFit="1"/>
    </xf>
    <xf numFmtId="0" fontId="35" fillId="9" borderId="0" xfId="1" applyNumberFormat="1" applyFont="1" applyFill="1" applyBorder="1" applyAlignment="1">
      <alignment horizontal="right" vertical="center" shrinkToFit="1"/>
    </xf>
    <xf numFmtId="0" fontId="35" fillId="9" borderId="12" xfId="1" applyNumberFormat="1" applyFont="1" applyFill="1" applyBorder="1" applyAlignment="1">
      <alignment horizontal="left" vertical="center"/>
    </xf>
    <xf numFmtId="0" fontId="35" fillId="10" borderId="0" xfId="1" applyNumberFormat="1" applyFont="1" applyFill="1" applyBorder="1" applyAlignment="1">
      <alignment horizontal="right" vertical="center" shrinkToFit="1"/>
    </xf>
    <xf numFmtId="0" fontId="35" fillId="26" borderId="9" xfId="0" applyNumberFormat="1" applyFont="1" applyFill="1" applyBorder="1" applyAlignment="1">
      <alignment vertical="center" shrinkToFit="1"/>
    </xf>
    <xf numFmtId="0" fontId="35" fillId="26" borderId="0" xfId="1" applyNumberFormat="1" applyFont="1" applyFill="1" applyBorder="1" applyAlignment="1">
      <alignment vertical="center"/>
    </xf>
    <xf numFmtId="0" fontId="36" fillId="26" borderId="0" xfId="1" applyNumberFormat="1" applyFont="1" applyFill="1" applyBorder="1" applyAlignment="1">
      <alignment vertical="center"/>
    </xf>
    <xf numFmtId="0" fontId="36" fillId="26" borderId="0" xfId="1" applyNumberFormat="1" applyFont="1" applyFill="1" applyBorder="1" applyAlignment="1">
      <alignment horizontal="left" vertical="center"/>
    </xf>
    <xf numFmtId="41" fontId="35" fillId="26" borderId="0" xfId="4" applyNumberFormat="1" applyFont="1" applyFill="1" applyBorder="1" applyAlignment="1">
      <alignment horizontal="right" vertical="center" shrinkToFit="1"/>
    </xf>
    <xf numFmtId="9" fontId="35" fillId="26" borderId="73" xfId="1" applyNumberFormat="1" applyFont="1" applyFill="1" applyBorder="1" applyAlignment="1" applyProtection="1">
      <alignment horizontal="right" vertical="center" shrinkToFit="1"/>
    </xf>
    <xf numFmtId="0" fontId="35" fillId="26" borderId="0" xfId="1" applyNumberFormat="1" applyFont="1" applyFill="1" applyBorder="1" applyAlignment="1">
      <alignment horizontal="right" vertical="center" shrinkToFit="1"/>
    </xf>
    <xf numFmtId="9" fontId="36" fillId="26" borderId="0" xfId="3" applyNumberFormat="1" applyFont="1" applyFill="1" applyBorder="1" applyAlignment="1">
      <alignment horizontal="right" vertical="center" shrinkToFit="1"/>
    </xf>
    <xf numFmtId="0" fontId="35" fillId="0" borderId="9" xfId="1" applyNumberFormat="1" applyFont="1" applyFill="1" applyBorder="1" applyAlignment="1">
      <alignment vertical="center" shrinkToFit="1"/>
    </xf>
    <xf numFmtId="188" fontId="35" fillId="0" borderId="0" xfId="4" applyNumberFormat="1" applyFont="1" applyFill="1" applyBorder="1" applyAlignment="1" applyProtection="1">
      <alignment horizontal="right" vertical="center" shrinkToFit="1"/>
    </xf>
    <xf numFmtId="181" fontId="35" fillId="0" borderId="0" xfId="1" applyNumberFormat="1" applyFont="1" applyFill="1" applyBorder="1" applyAlignment="1" applyProtection="1">
      <alignment horizontal="right" vertical="center" shrinkToFit="1"/>
    </xf>
    <xf numFmtId="0" fontId="35" fillId="16" borderId="0" xfId="0" applyNumberFormat="1" applyFont="1" applyFill="1" applyBorder="1" applyAlignment="1">
      <alignment horizontal="left" vertical="center"/>
    </xf>
    <xf numFmtId="0" fontId="36" fillId="16" borderId="0" xfId="1" applyNumberFormat="1" applyFont="1" applyFill="1" applyBorder="1" applyAlignment="1">
      <alignment vertical="center"/>
    </xf>
    <xf numFmtId="0" fontId="36" fillId="16" borderId="0" xfId="1" applyNumberFormat="1" applyFont="1" applyFill="1" applyBorder="1" applyAlignment="1">
      <alignment horizontal="left" vertical="center"/>
    </xf>
    <xf numFmtId="188" fontId="35" fillId="16" borderId="0" xfId="4" applyNumberFormat="1" applyFont="1" applyFill="1" applyBorder="1" applyAlignment="1" applyProtection="1">
      <alignment horizontal="right" vertical="center" shrinkToFit="1"/>
    </xf>
    <xf numFmtId="181" fontId="35" fillId="16" borderId="0" xfId="1" applyNumberFormat="1" applyFont="1" applyFill="1" applyBorder="1" applyAlignment="1" applyProtection="1">
      <alignment horizontal="right" vertical="center" shrinkToFit="1"/>
    </xf>
    <xf numFmtId="9" fontId="36" fillId="16" borderId="0" xfId="3" applyNumberFormat="1" applyFont="1" applyFill="1" applyBorder="1" applyAlignment="1">
      <alignment horizontal="right" vertical="center" shrinkToFit="1"/>
    </xf>
    <xf numFmtId="0" fontId="35" fillId="13" borderId="9" xfId="0" applyNumberFormat="1" applyFont="1" applyFill="1" applyBorder="1" applyAlignment="1">
      <alignment vertical="center" shrinkToFit="1"/>
    </xf>
    <xf numFmtId="0" fontId="35" fillId="13" borderId="0" xfId="0" applyNumberFormat="1" applyFont="1" applyFill="1" applyBorder="1" applyAlignment="1">
      <alignment horizontal="left" vertical="center"/>
    </xf>
    <xf numFmtId="0" fontId="36" fillId="13" borderId="0" xfId="1" applyNumberFormat="1" applyFont="1" applyFill="1" applyBorder="1" applyAlignment="1">
      <alignment vertical="center"/>
    </xf>
    <xf numFmtId="0" fontId="35" fillId="13" borderId="0" xfId="1" applyNumberFormat="1" applyFont="1" applyFill="1" applyBorder="1" applyAlignment="1">
      <alignment horizontal="left" vertical="center"/>
    </xf>
    <xf numFmtId="41" fontId="35" fillId="13" borderId="0" xfId="4" applyNumberFormat="1" applyFont="1" applyFill="1" applyBorder="1" applyAlignment="1">
      <alignment horizontal="right" vertical="center" shrinkToFit="1"/>
    </xf>
    <xf numFmtId="9" fontId="35" fillId="13" borderId="0" xfId="1" applyNumberFormat="1" applyFont="1" applyFill="1" applyBorder="1" applyAlignment="1" applyProtection="1">
      <alignment horizontal="right" vertical="center" shrinkToFit="1"/>
    </xf>
    <xf numFmtId="0" fontId="35" fillId="13" borderId="0" xfId="1" applyNumberFormat="1" applyFont="1" applyFill="1" applyBorder="1" applyAlignment="1">
      <alignment horizontal="right" vertical="center" shrinkToFit="1"/>
    </xf>
    <xf numFmtId="9" fontId="36" fillId="13" borderId="0" xfId="3" applyNumberFormat="1" applyFont="1" applyFill="1" applyBorder="1" applyAlignment="1">
      <alignment horizontal="right" vertical="center" shrinkToFit="1"/>
    </xf>
    <xf numFmtId="0" fontId="35" fillId="18" borderId="9" xfId="0" applyNumberFormat="1" applyFont="1" applyFill="1" applyBorder="1" applyAlignment="1">
      <alignment vertical="center" shrinkToFit="1"/>
    </xf>
    <xf numFmtId="0" fontId="35" fillId="18" borderId="0" xfId="1" applyNumberFormat="1" applyFont="1" applyFill="1" applyBorder="1" applyAlignment="1">
      <alignment vertical="center"/>
    </xf>
    <xf numFmtId="0" fontId="35" fillId="18" borderId="0" xfId="0" applyNumberFormat="1" applyFont="1" applyFill="1" applyBorder="1" applyAlignment="1">
      <alignment horizontal="left" vertical="center"/>
    </xf>
    <xf numFmtId="0" fontId="35" fillId="18" borderId="12" xfId="1" applyNumberFormat="1" applyFont="1" applyFill="1" applyBorder="1" applyAlignment="1">
      <alignment vertical="center"/>
    </xf>
    <xf numFmtId="0" fontId="35" fillId="18" borderId="12" xfId="1" applyNumberFormat="1" applyFont="1" applyFill="1" applyBorder="1" applyAlignment="1">
      <alignment horizontal="left" vertical="center"/>
    </xf>
    <xf numFmtId="41" fontId="35" fillId="18" borderId="12" xfId="4" applyNumberFormat="1" applyFont="1" applyFill="1" applyBorder="1" applyAlignment="1">
      <alignment horizontal="right" vertical="center" shrinkToFit="1"/>
    </xf>
    <xf numFmtId="41" fontId="35" fillId="18" borderId="0" xfId="4" applyNumberFormat="1" applyFont="1" applyFill="1" applyBorder="1" applyAlignment="1">
      <alignment horizontal="right" vertical="center" shrinkToFit="1"/>
    </xf>
    <xf numFmtId="9" fontId="35" fillId="18" borderId="0" xfId="1" applyNumberFormat="1" applyFont="1" applyFill="1" applyBorder="1" applyAlignment="1" applyProtection="1">
      <alignment horizontal="right" vertical="center" shrinkToFit="1"/>
    </xf>
    <xf numFmtId="0" fontId="35" fillId="18" borderId="0" xfId="1" applyNumberFormat="1" applyFont="1" applyFill="1" applyBorder="1" applyAlignment="1">
      <alignment horizontal="right" vertical="center" shrinkToFit="1"/>
    </xf>
    <xf numFmtId="9" fontId="36" fillId="18" borderId="12" xfId="3" applyNumberFormat="1" applyFont="1" applyFill="1" applyBorder="1" applyAlignment="1">
      <alignment horizontal="right" vertical="center" shrinkToFit="1"/>
    </xf>
    <xf numFmtId="9" fontId="36" fillId="18" borderId="0" xfId="3" applyNumberFormat="1" applyFont="1" applyFill="1" applyBorder="1" applyAlignment="1">
      <alignment horizontal="right" vertical="center" shrinkToFit="1"/>
    </xf>
    <xf numFmtId="183" fontId="36" fillId="0" borderId="0" xfId="1" applyNumberFormat="1" applyFont="1" applyFill="1" applyBorder="1" applyAlignment="1">
      <alignment horizontal="right" vertical="center" shrinkToFit="1"/>
    </xf>
    <xf numFmtId="0" fontId="35" fillId="27" borderId="9" xfId="1" applyNumberFormat="1" applyFont="1" applyFill="1" applyBorder="1" applyAlignment="1">
      <alignment vertical="center" shrinkToFit="1"/>
    </xf>
    <xf numFmtId="0" fontId="35" fillId="27" borderId="0" xfId="1" applyNumberFormat="1" applyFont="1" applyFill="1" applyBorder="1" applyAlignment="1">
      <alignment horizontal="left" vertical="center"/>
    </xf>
    <xf numFmtId="41" fontId="35" fillId="27" borderId="0" xfId="2" applyNumberFormat="1" applyFont="1" applyFill="1" applyBorder="1" applyAlignment="1">
      <alignment horizontal="right" vertical="center" shrinkToFit="1"/>
    </xf>
    <xf numFmtId="41" fontId="36" fillId="27" borderId="0" xfId="2" applyNumberFormat="1" applyFont="1" applyFill="1" applyBorder="1" applyAlignment="1">
      <alignment horizontal="right" vertical="center" shrinkToFit="1"/>
    </xf>
    <xf numFmtId="0" fontId="35" fillId="27" borderId="0" xfId="1" applyNumberFormat="1" applyFont="1" applyFill="1" applyBorder="1" applyAlignment="1">
      <alignment horizontal="right" vertical="center" shrinkToFit="1"/>
    </xf>
    <xf numFmtId="183" fontId="36" fillId="27" borderId="0" xfId="1" applyNumberFormat="1" applyFont="1" applyFill="1" applyBorder="1" applyAlignment="1">
      <alignment horizontal="right" vertical="center" shrinkToFit="1"/>
    </xf>
    <xf numFmtId="0" fontId="35" fillId="9" borderId="9" xfId="1" applyNumberFormat="1" applyFont="1" applyFill="1" applyBorder="1" applyAlignment="1">
      <alignment vertical="center" shrinkToFit="1"/>
    </xf>
    <xf numFmtId="41" fontId="35" fillId="9" borderId="0" xfId="2" applyNumberFormat="1" applyFont="1" applyFill="1" applyBorder="1" applyAlignment="1">
      <alignment horizontal="right" vertical="center" shrinkToFit="1"/>
    </xf>
    <xf numFmtId="41" fontId="36" fillId="9" borderId="0" xfId="2" applyNumberFormat="1" applyFont="1" applyFill="1" applyBorder="1" applyAlignment="1">
      <alignment horizontal="right" vertical="center" shrinkToFit="1"/>
    </xf>
    <xf numFmtId="183" fontId="36" fillId="9" borderId="0" xfId="1" applyNumberFormat="1" applyFont="1" applyFill="1" applyBorder="1" applyAlignment="1">
      <alignment horizontal="right" vertical="center" shrinkToFit="1"/>
    </xf>
    <xf numFmtId="0" fontId="35" fillId="10" borderId="9" xfId="1" applyNumberFormat="1" applyFont="1" applyFill="1" applyBorder="1" applyAlignment="1">
      <alignment vertical="center" shrinkToFit="1"/>
    </xf>
    <xf numFmtId="0" fontId="35" fillId="10" borderId="0" xfId="0" applyNumberFormat="1" applyFont="1" applyFill="1" applyBorder="1" applyAlignment="1">
      <alignment horizontal="left" vertical="center"/>
    </xf>
    <xf numFmtId="0" fontId="35" fillId="10" borderId="0" xfId="1" applyNumberFormat="1" applyFont="1" applyFill="1" applyBorder="1" applyAlignment="1">
      <alignment horizontal="left" vertical="center"/>
    </xf>
    <xf numFmtId="41" fontId="35" fillId="10" borderId="0" xfId="2" applyNumberFormat="1" applyFont="1" applyFill="1" applyBorder="1" applyAlignment="1">
      <alignment horizontal="right" vertical="center" shrinkToFit="1"/>
    </xf>
    <xf numFmtId="41" fontId="36" fillId="10" borderId="0" xfId="2" applyNumberFormat="1" applyFont="1" applyFill="1" applyBorder="1" applyAlignment="1">
      <alignment horizontal="right" vertical="center" shrinkToFit="1"/>
    </xf>
    <xf numFmtId="183" fontId="36" fillId="10" borderId="0" xfId="1" applyNumberFormat="1" applyFont="1" applyFill="1" applyBorder="1" applyAlignment="1">
      <alignment horizontal="right" vertical="center" shrinkToFit="1"/>
    </xf>
    <xf numFmtId="0" fontId="35" fillId="12" borderId="9" xfId="1" applyNumberFormat="1" applyFont="1" applyFill="1" applyBorder="1" applyAlignment="1">
      <alignment vertical="center" shrinkToFit="1"/>
    </xf>
    <xf numFmtId="41" fontId="35" fillId="12" borderId="0" xfId="2" applyNumberFormat="1" applyFont="1" applyFill="1" applyBorder="1" applyAlignment="1">
      <alignment horizontal="right" vertical="center" shrinkToFit="1"/>
    </xf>
    <xf numFmtId="181" fontId="35" fillId="12" borderId="0" xfId="1" applyNumberFormat="1" applyFont="1" applyFill="1" applyBorder="1" applyAlignment="1">
      <alignment horizontal="right" vertical="center" shrinkToFit="1"/>
    </xf>
    <xf numFmtId="0" fontId="35" fillId="21" borderId="9" xfId="1" applyNumberFormat="1" applyFont="1" applyFill="1" applyBorder="1" applyAlignment="1">
      <alignment vertical="center" shrinkToFit="1"/>
    </xf>
    <xf numFmtId="0" fontId="35" fillId="21" borderId="0" xfId="1" applyNumberFormat="1" applyFont="1" applyFill="1" applyBorder="1" applyAlignment="1">
      <alignment horizontal="left" vertical="center"/>
    </xf>
    <xf numFmtId="41" fontId="35" fillId="21" borderId="0" xfId="2" applyNumberFormat="1" applyFont="1" applyFill="1" applyBorder="1" applyAlignment="1">
      <alignment horizontal="right" vertical="center" shrinkToFit="1"/>
    </xf>
    <xf numFmtId="181" fontId="35" fillId="21" borderId="0" xfId="1" applyNumberFormat="1" applyFont="1" applyFill="1" applyBorder="1" applyAlignment="1">
      <alignment horizontal="right" vertical="center" shrinkToFit="1"/>
    </xf>
    <xf numFmtId="0" fontId="35" fillId="16" borderId="9" xfId="1" applyNumberFormat="1" applyFont="1" applyFill="1" applyBorder="1" applyAlignment="1">
      <alignment vertical="center" shrinkToFit="1"/>
    </xf>
    <xf numFmtId="41" fontId="35" fillId="16" borderId="0" xfId="2" applyNumberFormat="1" applyFont="1" applyFill="1" applyBorder="1" applyAlignment="1">
      <alignment horizontal="right" vertical="center" shrinkToFit="1"/>
    </xf>
    <xf numFmtId="41" fontId="36" fillId="16" borderId="0" xfId="2" applyNumberFormat="1" applyFont="1" applyFill="1" applyBorder="1" applyAlignment="1">
      <alignment horizontal="right" vertical="center" shrinkToFit="1"/>
    </xf>
    <xf numFmtId="183" fontId="36" fillId="16" borderId="0" xfId="1" applyNumberFormat="1" applyFont="1" applyFill="1" applyBorder="1" applyAlignment="1">
      <alignment horizontal="right" vertical="center" shrinkToFit="1"/>
    </xf>
    <xf numFmtId="180" fontId="35" fillId="0" borderId="0" xfId="1" applyNumberFormat="1" applyFont="1" applyFill="1" applyBorder="1" applyAlignment="1" applyProtection="1">
      <alignment horizontal="right" vertical="center" shrinkToFit="1"/>
    </xf>
    <xf numFmtId="180" fontId="35" fillId="9" borderId="0" xfId="1" applyNumberFormat="1" applyFont="1" applyFill="1" applyBorder="1" applyAlignment="1">
      <alignment horizontal="right" vertical="center" shrinkToFit="1"/>
    </xf>
    <xf numFmtId="189" fontId="35" fillId="9" borderId="0" xfId="1" applyNumberFormat="1" applyFont="1" applyFill="1" applyBorder="1" applyAlignment="1">
      <alignment horizontal="right" vertical="center" shrinkToFit="1"/>
    </xf>
    <xf numFmtId="180" fontId="35" fillId="10" borderId="0" xfId="1" applyNumberFormat="1" applyFont="1" applyFill="1" applyBorder="1" applyAlignment="1" applyProtection="1">
      <alignment horizontal="right" vertical="center" shrinkToFit="1"/>
    </xf>
    <xf numFmtId="181" fontId="35" fillId="10" borderId="0" xfId="1" applyNumberFormat="1" applyFont="1" applyFill="1" applyBorder="1" applyAlignment="1" applyProtection="1">
      <alignment horizontal="right" vertical="center" shrinkToFit="1"/>
    </xf>
    <xf numFmtId="189" fontId="35" fillId="12" borderId="0" xfId="1" applyNumberFormat="1" applyFont="1" applyFill="1" applyBorder="1" applyAlignment="1">
      <alignment horizontal="right" vertical="center" shrinkToFit="1"/>
    </xf>
    <xf numFmtId="181" fontId="35" fillId="16" borderId="0" xfId="1" applyNumberFormat="1" applyFont="1" applyFill="1" applyBorder="1" applyAlignment="1">
      <alignment horizontal="right" vertical="center" shrinkToFit="1"/>
    </xf>
    <xf numFmtId="189" fontId="35" fillId="16" borderId="0" xfId="1" applyNumberFormat="1" applyFont="1" applyFill="1" applyBorder="1" applyAlignment="1">
      <alignment horizontal="right" vertical="center" shrinkToFit="1"/>
    </xf>
    <xf numFmtId="0" fontId="35" fillId="14" borderId="9" xfId="1" applyNumberFormat="1" applyFont="1" applyFill="1" applyBorder="1" applyAlignment="1">
      <alignment vertical="center" shrinkToFit="1"/>
    </xf>
    <xf numFmtId="0" fontId="35" fillId="14" borderId="0" xfId="0" applyNumberFormat="1" applyFont="1" applyFill="1" applyBorder="1" applyAlignment="1">
      <alignment horizontal="left" vertical="center"/>
    </xf>
    <xf numFmtId="0" fontId="35" fillId="14" borderId="0" xfId="1" applyNumberFormat="1" applyFont="1" applyFill="1" applyBorder="1" applyAlignment="1">
      <alignment horizontal="left" vertical="center"/>
    </xf>
    <xf numFmtId="41" fontId="35" fillId="14" borderId="0" xfId="2" applyNumberFormat="1" applyFont="1" applyFill="1" applyBorder="1" applyAlignment="1">
      <alignment horizontal="right" vertical="center" shrinkToFit="1"/>
    </xf>
    <xf numFmtId="41" fontId="36" fillId="14" borderId="0" xfId="2" applyNumberFormat="1" applyFont="1" applyFill="1" applyBorder="1" applyAlignment="1">
      <alignment horizontal="right" vertical="center" shrinkToFit="1"/>
    </xf>
    <xf numFmtId="0" fontId="35" fillId="14" borderId="0" xfId="1" applyNumberFormat="1" applyFont="1" applyFill="1" applyBorder="1" applyAlignment="1">
      <alignment horizontal="right" vertical="center" shrinkToFit="1"/>
    </xf>
    <xf numFmtId="183" fontId="36" fillId="14" borderId="0" xfId="1" applyNumberFormat="1" applyFont="1" applyFill="1" applyBorder="1" applyAlignment="1">
      <alignment horizontal="right" vertical="center" shrinkToFit="1"/>
    </xf>
    <xf numFmtId="0" fontId="35" fillId="15" borderId="9" xfId="1" applyNumberFormat="1" applyFont="1" applyFill="1" applyBorder="1" applyAlignment="1">
      <alignment vertical="center" shrinkToFit="1"/>
    </xf>
    <xf numFmtId="0" fontId="35" fillId="15" borderId="0" xfId="0" applyNumberFormat="1" applyFont="1" applyFill="1" applyBorder="1" applyAlignment="1">
      <alignment horizontal="left" vertical="center"/>
    </xf>
    <xf numFmtId="0" fontId="35" fillId="15" borderId="0" xfId="1" applyNumberFormat="1" applyFont="1" applyFill="1" applyBorder="1" applyAlignment="1">
      <alignment horizontal="left" vertical="center"/>
    </xf>
    <xf numFmtId="41" fontId="35" fillId="15" borderId="0" xfId="2" applyNumberFormat="1" applyFont="1" applyFill="1" applyBorder="1" applyAlignment="1">
      <alignment horizontal="right" vertical="center" shrinkToFit="1"/>
    </xf>
    <xf numFmtId="41" fontId="36" fillId="15" borderId="0" xfId="2" applyNumberFormat="1" applyFont="1" applyFill="1" applyBorder="1" applyAlignment="1">
      <alignment horizontal="right" vertical="center" shrinkToFit="1"/>
    </xf>
    <xf numFmtId="0" fontId="35" fillId="15" borderId="0" xfId="1" applyNumberFormat="1" applyFont="1" applyFill="1" applyBorder="1" applyAlignment="1">
      <alignment horizontal="right" vertical="center" shrinkToFit="1"/>
    </xf>
    <xf numFmtId="183" fontId="36" fillId="15" borderId="0" xfId="1" applyNumberFormat="1" applyFont="1" applyFill="1" applyBorder="1" applyAlignment="1">
      <alignment horizontal="right" vertical="center" shrinkToFit="1"/>
    </xf>
    <xf numFmtId="0" fontId="35" fillId="23" borderId="9" xfId="1" applyNumberFormat="1" applyFont="1" applyFill="1" applyBorder="1" applyAlignment="1">
      <alignment vertical="center" shrinkToFit="1"/>
    </xf>
    <xf numFmtId="0" fontId="35" fillId="23" borderId="0" xfId="1" applyNumberFormat="1" applyFont="1" applyFill="1" applyBorder="1" applyAlignment="1">
      <alignment horizontal="left" vertical="center"/>
    </xf>
    <xf numFmtId="0" fontId="36" fillId="23" borderId="0" xfId="1" applyNumberFormat="1" applyFont="1" applyFill="1" applyBorder="1" applyAlignment="1">
      <alignment horizontal="left" vertical="center"/>
    </xf>
    <xf numFmtId="41" fontId="35" fillId="23" borderId="0" xfId="2" applyNumberFormat="1" applyFont="1" applyFill="1" applyBorder="1" applyAlignment="1">
      <alignment horizontal="right" vertical="center" shrinkToFit="1"/>
    </xf>
    <xf numFmtId="181" fontId="35" fillId="23" borderId="0" xfId="1" applyNumberFormat="1" applyFont="1" applyFill="1" applyBorder="1" applyAlignment="1">
      <alignment horizontal="right" vertical="center" shrinkToFit="1"/>
    </xf>
    <xf numFmtId="0" fontId="35" fillId="23" borderId="0" xfId="1" applyNumberFormat="1" applyFont="1" applyFill="1" applyBorder="1" applyAlignment="1">
      <alignment horizontal="right" vertical="center" shrinkToFit="1"/>
    </xf>
    <xf numFmtId="0" fontId="35" fillId="18" borderId="9" xfId="1" applyNumberFormat="1" applyFont="1" applyFill="1" applyBorder="1" applyAlignment="1">
      <alignment vertical="center" shrinkToFit="1"/>
    </xf>
    <xf numFmtId="0" fontId="35" fillId="18" borderId="0" xfId="1" applyNumberFormat="1" applyFont="1" applyFill="1" applyBorder="1" applyAlignment="1">
      <alignment horizontal="left" vertical="center"/>
    </xf>
    <xf numFmtId="0" fontId="36" fillId="18" borderId="0" xfId="1" applyNumberFormat="1" applyFont="1" applyFill="1" applyBorder="1" applyAlignment="1">
      <alignment horizontal="left" vertical="center"/>
    </xf>
    <xf numFmtId="41" fontId="35" fillId="18" borderId="12" xfId="2" applyNumberFormat="1" applyFont="1" applyFill="1" applyBorder="1" applyAlignment="1">
      <alignment horizontal="right" vertical="center" shrinkToFit="1"/>
    </xf>
    <xf numFmtId="0" fontId="35" fillId="18" borderId="12" xfId="1" applyNumberFormat="1" applyFont="1" applyFill="1" applyBorder="1" applyAlignment="1" applyProtection="1">
      <alignment horizontal="right" vertical="center" shrinkToFit="1"/>
    </xf>
    <xf numFmtId="181" fontId="35" fillId="18" borderId="0" xfId="1" applyNumberFormat="1" applyFont="1" applyFill="1" applyBorder="1" applyAlignment="1">
      <alignment horizontal="right" vertical="center" shrinkToFit="1"/>
    </xf>
    <xf numFmtId="180" fontId="35" fillId="9" borderId="0" xfId="1" applyNumberFormat="1" applyFont="1" applyFill="1" applyBorder="1" applyAlignment="1" applyProtection="1">
      <alignment horizontal="right" vertical="center" shrinkToFit="1"/>
    </xf>
    <xf numFmtId="181" fontId="35" fillId="9" borderId="0" xfId="1" applyNumberFormat="1" applyFont="1" applyFill="1" applyBorder="1" applyAlignment="1">
      <alignment horizontal="right" vertical="center" shrinkToFit="1"/>
    </xf>
    <xf numFmtId="183" fontId="35" fillId="0" borderId="0" xfId="1" applyNumberFormat="1" applyFont="1" applyFill="1" applyBorder="1" applyAlignment="1" applyProtection="1">
      <alignment horizontal="right" vertical="center" shrinkToFit="1"/>
    </xf>
    <xf numFmtId="183" fontId="35" fillId="9" borderId="0" xfId="1" applyNumberFormat="1" applyFont="1" applyFill="1" applyBorder="1" applyAlignment="1" applyProtection="1">
      <alignment horizontal="right" vertical="center" shrinkToFit="1"/>
    </xf>
    <xf numFmtId="0" fontId="35" fillId="0" borderId="11" xfId="1" applyNumberFormat="1" applyFont="1" applyFill="1" applyBorder="1" applyAlignment="1">
      <alignment vertical="center" shrinkToFit="1"/>
    </xf>
    <xf numFmtId="0" fontId="35" fillId="0" borderId="12" xfId="1" applyNumberFormat="1" applyFont="1" applyFill="1" applyBorder="1" applyAlignment="1">
      <alignment horizontal="left" vertical="center"/>
    </xf>
    <xf numFmtId="0" fontId="36" fillId="0" borderId="12" xfId="1" applyNumberFormat="1" applyFont="1" applyFill="1" applyBorder="1" applyAlignment="1">
      <alignment horizontal="left" vertical="center"/>
    </xf>
    <xf numFmtId="183" fontId="35" fillId="0" borderId="12" xfId="1" applyNumberFormat="1" applyFont="1" applyFill="1" applyBorder="1" applyAlignment="1" applyProtection="1">
      <alignment horizontal="right" vertical="center" shrinkToFit="1"/>
    </xf>
    <xf numFmtId="41" fontId="35" fillId="3" borderId="3" xfId="2" applyNumberFormat="1" applyFont="1" applyFill="1" applyBorder="1" applyAlignment="1">
      <alignment horizontal="center" vertical="center" shrinkToFit="1"/>
    </xf>
    <xf numFmtId="185" fontId="35" fillId="3" borderId="3" xfId="2" applyNumberFormat="1" applyFont="1" applyFill="1" applyBorder="1" applyAlignment="1">
      <alignment horizontal="center" vertical="center" shrinkToFit="1"/>
    </xf>
    <xf numFmtId="0" fontId="36" fillId="0" borderId="140" xfId="1" applyNumberFormat="1" applyFont="1" applyFill="1" applyBorder="1" applyAlignment="1">
      <alignment vertical="center" shrinkToFit="1"/>
    </xf>
    <xf numFmtId="0" fontId="36" fillId="0" borderId="97" xfId="1" applyNumberFormat="1" applyFont="1" applyFill="1" applyBorder="1" applyAlignment="1">
      <alignment horizontal="left" vertical="center"/>
    </xf>
    <xf numFmtId="0" fontId="35" fillId="0" borderId="97" xfId="1" applyNumberFormat="1" applyFont="1" applyFill="1" applyBorder="1" applyAlignment="1">
      <alignment horizontal="left" vertical="center"/>
    </xf>
    <xf numFmtId="41" fontId="35" fillId="0" borderId="97" xfId="2" applyNumberFormat="1" applyFont="1" applyFill="1" applyBorder="1" applyAlignment="1">
      <alignment horizontal="right" vertical="center" shrinkToFit="1"/>
    </xf>
    <xf numFmtId="184" fontId="35" fillId="0" borderId="97" xfId="1" applyNumberFormat="1" applyFont="1" applyFill="1" applyBorder="1" applyAlignment="1">
      <alignment horizontal="right" vertical="center" shrinkToFit="1"/>
    </xf>
    <xf numFmtId="0" fontId="35" fillId="0" borderId="97" xfId="1" applyNumberFormat="1" applyFont="1" applyFill="1" applyBorder="1" applyAlignment="1">
      <alignment horizontal="right" vertical="center" shrinkToFit="1"/>
    </xf>
    <xf numFmtId="9" fontId="36" fillId="0" borderId="97" xfId="3" applyNumberFormat="1" applyFont="1" applyFill="1" applyBorder="1" applyAlignment="1">
      <alignment horizontal="right" vertical="center" shrinkToFit="1"/>
    </xf>
    <xf numFmtId="0" fontId="36" fillId="0" borderId="9" xfId="1" applyNumberFormat="1" applyFont="1" applyFill="1" applyBorder="1" applyAlignment="1">
      <alignment vertical="center" shrinkToFit="1"/>
    </xf>
    <xf numFmtId="180" fontId="35" fillId="0" borderId="0" xfId="0" applyNumberFormat="1" applyFont="1" applyFill="1" applyBorder="1" applyAlignment="1">
      <alignment horizontal="right" vertical="center" shrinkToFit="1"/>
    </xf>
    <xf numFmtId="180" fontId="35" fillId="0" borderId="0" xfId="1" applyNumberFormat="1" applyFont="1" applyFill="1" applyBorder="1" applyAlignment="1">
      <alignment horizontal="right" vertical="center" shrinkToFit="1"/>
    </xf>
    <xf numFmtId="0" fontId="36" fillId="9" borderId="9" xfId="1" applyNumberFormat="1" applyFont="1" applyFill="1" applyBorder="1" applyAlignment="1">
      <alignment vertical="center" shrinkToFit="1"/>
    </xf>
    <xf numFmtId="180" fontId="35" fillId="9" borderId="0" xfId="0" applyNumberFormat="1" applyFont="1" applyFill="1" applyBorder="1" applyAlignment="1">
      <alignment horizontal="right" vertical="center" shrinkToFit="1"/>
    </xf>
    <xf numFmtId="183" fontId="35" fillId="0" borderId="0" xfId="0" applyNumberFormat="1" applyFont="1" applyFill="1" applyBorder="1" applyAlignment="1">
      <alignment horizontal="right" vertical="center" shrinkToFit="1"/>
    </xf>
    <xf numFmtId="183" fontId="35" fillId="9" borderId="0" xfId="0" applyNumberFormat="1" applyFont="1" applyFill="1" applyBorder="1" applyAlignment="1">
      <alignment horizontal="right" vertical="center" shrinkToFit="1"/>
    </xf>
    <xf numFmtId="0" fontId="35" fillId="24" borderId="9" xfId="1" applyNumberFormat="1" applyFont="1" applyFill="1" applyBorder="1" applyAlignment="1">
      <alignment vertical="center" shrinkToFit="1"/>
    </xf>
    <xf numFmtId="0" fontId="35" fillId="24" borderId="0" xfId="0" applyNumberFormat="1" applyFont="1" applyFill="1" applyBorder="1" applyAlignment="1">
      <alignment horizontal="left" vertical="center"/>
    </xf>
    <xf numFmtId="0" fontId="35" fillId="24" borderId="0" xfId="1" applyNumberFormat="1" applyFont="1" applyFill="1" applyBorder="1" applyAlignment="1">
      <alignment horizontal="left" vertical="center"/>
    </xf>
    <xf numFmtId="41" fontId="35" fillId="24" borderId="0" xfId="2" applyNumberFormat="1" applyFont="1" applyFill="1" applyBorder="1" applyAlignment="1">
      <alignment horizontal="right" vertical="center" shrinkToFit="1"/>
    </xf>
    <xf numFmtId="181" fontId="35" fillId="24" borderId="0" xfId="1" applyNumberFormat="1" applyFont="1" applyFill="1" applyBorder="1" applyAlignment="1">
      <alignment horizontal="right" vertical="center" shrinkToFit="1"/>
    </xf>
    <xf numFmtId="0" fontId="35" fillId="24" borderId="0" xfId="1" applyNumberFormat="1" applyFont="1" applyFill="1" applyBorder="1" applyAlignment="1">
      <alignment horizontal="right" vertical="center" shrinkToFit="1"/>
    </xf>
    <xf numFmtId="0" fontId="36" fillId="16" borderId="9" xfId="1" applyNumberFormat="1" applyFont="1" applyFill="1" applyBorder="1" applyAlignment="1">
      <alignment vertical="center" shrinkToFit="1"/>
    </xf>
    <xf numFmtId="183" fontId="35" fillId="16" borderId="0" xfId="0" applyNumberFormat="1" applyFont="1" applyFill="1" applyBorder="1" applyAlignment="1">
      <alignment horizontal="right" vertical="center" shrinkToFit="1"/>
    </xf>
    <xf numFmtId="180" fontId="35" fillId="16" borderId="0" xfId="0" applyNumberFormat="1" applyFont="1" applyFill="1" applyBorder="1" applyAlignment="1">
      <alignment horizontal="right" vertical="center" shrinkToFit="1"/>
    </xf>
    <xf numFmtId="180" fontId="35" fillId="16" borderId="0" xfId="1" applyNumberFormat="1" applyFont="1" applyFill="1" applyBorder="1" applyAlignment="1">
      <alignment horizontal="right" vertical="center" shrinkToFit="1"/>
    </xf>
    <xf numFmtId="0" fontId="36" fillId="25" borderId="9" xfId="1" applyNumberFormat="1" applyFont="1" applyFill="1" applyBorder="1" applyAlignment="1">
      <alignment vertical="center" shrinkToFit="1"/>
    </xf>
    <xf numFmtId="0" fontId="35" fillId="25" borderId="0" xfId="1" applyNumberFormat="1" applyFont="1" applyFill="1" applyBorder="1" applyAlignment="1">
      <alignment horizontal="left" vertical="center"/>
    </xf>
    <xf numFmtId="0" fontId="36" fillId="25" borderId="0" xfId="1" applyNumberFormat="1" applyFont="1" applyFill="1" applyBorder="1" applyAlignment="1">
      <alignment horizontal="left" vertical="center"/>
    </xf>
    <xf numFmtId="41" fontId="35" fillId="25" borderId="0" xfId="2" applyNumberFormat="1" applyFont="1" applyFill="1" applyBorder="1" applyAlignment="1">
      <alignment horizontal="right" vertical="center" shrinkToFit="1"/>
    </xf>
    <xf numFmtId="183" fontId="35" fillId="25" borderId="0" xfId="0" applyNumberFormat="1" applyFont="1" applyFill="1" applyBorder="1" applyAlignment="1">
      <alignment horizontal="right" vertical="center" shrinkToFit="1"/>
    </xf>
    <xf numFmtId="180" fontId="35" fillId="25" borderId="0" xfId="0" applyNumberFormat="1" applyFont="1" applyFill="1" applyBorder="1" applyAlignment="1">
      <alignment horizontal="right" vertical="center" shrinkToFit="1"/>
    </xf>
    <xf numFmtId="180" fontId="35" fillId="25" borderId="0" xfId="1" applyNumberFormat="1" applyFont="1" applyFill="1" applyBorder="1" applyAlignment="1">
      <alignment horizontal="right" vertical="center" shrinkToFit="1"/>
    </xf>
    <xf numFmtId="0" fontId="36" fillId="0" borderId="3" xfId="1" applyNumberFormat="1" applyFont="1" applyFill="1" applyBorder="1" applyAlignment="1">
      <alignment vertical="center" shrinkToFit="1"/>
    </xf>
    <xf numFmtId="184" fontId="35" fillId="0" borderId="6" xfId="1" applyNumberFormat="1" applyFont="1" applyFill="1" applyBorder="1" applyAlignment="1">
      <alignment horizontal="right" vertical="center" shrinkToFit="1"/>
    </xf>
    <xf numFmtId="0" fontId="35" fillId="25" borderId="0" xfId="1" applyNumberFormat="1" applyFont="1" applyFill="1" applyBorder="1" applyAlignment="1">
      <alignment horizontal="right" vertical="center" shrinkToFit="1"/>
    </xf>
    <xf numFmtId="0" fontId="36" fillId="9" borderId="11" xfId="1" applyNumberFormat="1" applyFont="1" applyFill="1" applyBorder="1" applyAlignment="1">
      <alignment vertical="center" shrinkToFit="1"/>
    </xf>
    <xf numFmtId="41" fontId="35" fillId="9" borderId="12" xfId="2" applyNumberFormat="1" applyFont="1" applyFill="1" applyBorder="1" applyAlignment="1">
      <alignment horizontal="right" vertical="center" shrinkToFit="1"/>
    </xf>
    <xf numFmtId="187" fontId="35" fillId="9" borderId="12" xfId="1" applyNumberFormat="1" applyFont="1" applyFill="1" applyBorder="1" applyAlignment="1" applyProtection="1">
      <alignment horizontal="right" vertical="center" shrinkToFit="1"/>
    </xf>
    <xf numFmtId="0" fontId="35" fillId="9" borderId="12" xfId="1" applyNumberFormat="1" applyFont="1" applyFill="1" applyBorder="1" applyAlignment="1">
      <alignment horizontal="right" vertical="center" shrinkToFit="1"/>
    </xf>
    <xf numFmtId="181" fontId="35" fillId="9" borderId="12" xfId="1" applyNumberFormat="1" applyFont="1" applyFill="1" applyBorder="1" applyAlignment="1">
      <alignment horizontal="right" vertical="center" shrinkToFit="1"/>
    </xf>
    <xf numFmtId="180" fontId="35" fillId="9" borderId="12" xfId="1" applyNumberFormat="1" applyFont="1" applyFill="1" applyBorder="1" applyAlignment="1">
      <alignment horizontal="right" vertical="center" shrinkToFit="1"/>
    </xf>
    <xf numFmtId="0" fontId="36" fillId="0" borderId="8" xfId="1" applyNumberFormat="1" applyFont="1" applyFill="1" applyBorder="1" applyAlignment="1">
      <alignment vertical="center" shrinkToFit="1"/>
    </xf>
    <xf numFmtId="0" fontId="36" fillId="25" borderId="0" xfId="1" applyNumberFormat="1" applyFont="1" applyFill="1" applyBorder="1" applyAlignment="1">
      <alignment vertical="center" shrinkToFit="1"/>
    </xf>
    <xf numFmtId="184" fontId="35" fillId="25" borderId="0" xfId="1" applyNumberFormat="1" applyFont="1" applyFill="1" applyBorder="1" applyAlignment="1">
      <alignment horizontal="right" vertical="center" shrinkToFit="1"/>
    </xf>
    <xf numFmtId="183" fontId="36" fillId="25" borderId="0" xfId="1" applyNumberFormat="1" applyFont="1" applyFill="1" applyBorder="1" applyAlignment="1">
      <alignment horizontal="right" vertical="center" shrinkToFit="1"/>
    </xf>
    <xf numFmtId="184" fontId="35" fillId="0" borderId="0" xfId="1" applyNumberFormat="1" applyFont="1" applyFill="1" applyBorder="1" applyAlignment="1">
      <alignment horizontal="right" vertical="center" shrinkToFit="1"/>
    </xf>
    <xf numFmtId="184" fontId="35" fillId="16" borderId="0" xfId="1" applyNumberFormat="1" applyFont="1" applyFill="1" applyBorder="1" applyAlignment="1">
      <alignment horizontal="right" vertical="center" shrinkToFit="1"/>
    </xf>
    <xf numFmtId="183" fontId="35" fillId="16" borderId="0" xfId="1" applyNumberFormat="1" applyFont="1" applyFill="1" applyBorder="1" applyAlignment="1">
      <alignment horizontal="right" vertical="center" shrinkToFit="1"/>
    </xf>
    <xf numFmtId="41" fontId="35" fillId="2" borderId="29" xfId="2" applyNumberFormat="1" applyFont="1" applyFill="1" applyBorder="1" applyAlignment="1">
      <alignment horizontal="center" vertical="center" shrinkToFit="1"/>
    </xf>
    <xf numFmtId="41" fontId="35" fillId="2" borderId="13" xfId="2" applyNumberFormat="1" applyFont="1" applyFill="1" applyBorder="1" applyAlignment="1">
      <alignment horizontal="center" vertical="center" shrinkToFit="1"/>
    </xf>
    <xf numFmtId="41" fontId="35" fillId="3" borderId="6" xfId="2" applyNumberFormat="1" applyFont="1" applyFill="1" applyBorder="1" applyAlignment="1">
      <alignment horizontal="center" vertical="center" shrinkToFit="1"/>
    </xf>
    <xf numFmtId="41" fontId="35" fillId="3" borderId="7" xfId="2" applyNumberFormat="1" applyFont="1" applyFill="1" applyBorder="1" applyAlignment="1">
      <alignment horizontal="center" vertical="center" shrinkToFit="1"/>
    </xf>
    <xf numFmtId="0" fontId="36" fillId="0" borderId="6" xfId="0" applyNumberFormat="1" applyFont="1" applyFill="1" applyBorder="1" applyAlignment="1">
      <alignment horizontal="left" vertical="center"/>
    </xf>
    <xf numFmtId="0" fontId="35" fillId="0" borderId="6" xfId="0" applyNumberFormat="1" applyFont="1" applyFill="1" applyBorder="1" applyAlignment="1">
      <alignment horizontal="left" vertical="center"/>
    </xf>
    <xf numFmtId="186" fontId="35" fillId="0" borderId="6" xfId="0" applyNumberFormat="1" applyFont="1" applyFill="1" applyBorder="1" applyAlignment="1">
      <alignment horizontal="right" vertical="center" shrinkToFit="1"/>
    </xf>
    <xf numFmtId="0" fontId="35" fillId="0" borderId="6" xfId="0" applyNumberFormat="1" applyFont="1" applyFill="1" applyBorder="1" applyAlignment="1">
      <alignment horizontal="right" vertical="center" shrinkToFit="1"/>
    </xf>
    <xf numFmtId="0" fontId="35" fillId="0" borderId="12" xfId="0" applyNumberFormat="1" applyFont="1" applyFill="1" applyBorder="1" applyAlignment="1">
      <alignment horizontal="left" vertical="center"/>
    </xf>
    <xf numFmtId="41" fontId="35" fillId="0" borderId="12" xfId="2" applyNumberFormat="1" applyFont="1" applyFill="1" applyBorder="1" applyAlignment="1">
      <alignment horizontal="right" vertical="center" shrinkToFit="1"/>
    </xf>
    <xf numFmtId="183" fontId="35" fillId="0" borderId="12" xfId="1" applyNumberFormat="1" applyFont="1" applyFill="1" applyBorder="1" applyAlignment="1">
      <alignment horizontal="right" vertical="center" shrinkToFit="1"/>
    </xf>
    <xf numFmtId="0" fontId="35" fillId="0" borderId="12" xfId="0" applyNumberFormat="1" applyFont="1" applyFill="1" applyBorder="1" applyAlignment="1">
      <alignment horizontal="right" vertical="center" shrinkToFit="1"/>
    </xf>
    <xf numFmtId="180" fontId="35" fillId="0" borderId="12" xfId="0" applyNumberFormat="1" applyFont="1" applyFill="1" applyBorder="1" applyAlignment="1">
      <alignment horizontal="right" vertical="center" shrinkToFit="1"/>
    </xf>
    <xf numFmtId="0" fontId="35" fillId="0" borderId="73" xfId="0" applyNumberFormat="1" applyFont="1" applyFill="1" applyBorder="1" applyAlignment="1">
      <alignment horizontal="left" vertical="center"/>
    </xf>
    <xf numFmtId="41" fontId="35" fillId="0" borderId="73" xfId="2" applyNumberFormat="1" applyFont="1" applyFill="1" applyBorder="1" applyAlignment="1">
      <alignment horizontal="right" vertical="center" shrinkToFit="1"/>
    </xf>
    <xf numFmtId="183" fontId="35" fillId="0" borderId="73" xfId="1" applyNumberFormat="1" applyFont="1" applyFill="1" applyBorder="1" applyAlignment="1">
      <alignment horizontal="right" vertical="center" shrinkToFit="1"/>
    </xf>
    <xf numFmtId="0" fontId="35" fillId="0" borderId="73" xfId="0" applyNumberFormat="1" applyFont="1" applyFill="1" applyBorder="1" applyAlignment="1">
      <alignment horizontal="right" vertical="center" shrinkToFit="1"/>
    </xf>
    <xf numFmtId="180" fontId="35" fillId="0" borderId="73" xfId="0" applyNumberFormat="1" applyFont="1" applyFill="1" applyBorder="1" applyAlignment="1">
      <alignment horizontal="right" vertical="center" shrinkToFit="1"/>
    </xf>
    <xf numFmtId="0" fontId="35" fillId="25" borderId="141" xfId="1" applyNumberFormat="1" applyFont="1" applyFill="1" applyBorder="1" applyAlignment="1">
      <alignment vertical="center" shrinkToFit="1"/>
    </xf>
    <xf numFmtId="0" fontId="35" fillId="25" borderId="76" xfId="0" applyNumberFormat="1" applyFont="1" applyFill="1" applyBorder="1" applyAlignment="1">
      <alignment horizontal="left" vertical="center"/>
    </xf>
    <xf numFmtId="41" fontId="35" fillId="25" borderId="76" xfId="2" applyNumberFormat="1" applyFont="1" applyFill="1" applyBorder="1" applyAlignment="1">
      <alignment horizontal="right" vertical="center" shrinkToFit="1"/>
    </xf>
    <xf numFmtId="183" fontId="35" fillId="25" borderId="76" xfId="1" applyNumberFormat="1" applyFont="1" applyFill="1" applyBorder="1" applyAlignment="1">
      <alignment horizontal="right" vertical="center" shrinkToFit="1"/>
    </xf>
    <xf numFmtId="0" fontId="35" fillId="25" borderId="76" xfId="0" applyNumberFormat="1" applyFont="1" applyFill="1" applyBorder="1" applyAlignment="1">
      <alignment horizontal="right" vertical="center" shrinkToFit="1"/>
    </xf>
    <xf numFmtId="180" fontId="35" fillId="25" borderId="76" xfId="0" applyNumberFormat="1" applyFont="1" applyFill="1" applyBorder="1" applyAlignment="1">
      <alignment horizontal="right" vertical="center" shrinkToFit="1"/>
    </xf>
    <xf numFmtId="0" fontId="35" fillId="0" borderId="73" xfId="1" applyNumberFormat="1" applyFont="1" applyFill="1" applyBorder="1" applyAlignment="1">
      <alignment vertical="center" shrinkToFit="1"/>
    </xf>
    <xf numFmtId="0" fontId="36" fillId="0" borderId="76" xfId="0" applyNumberFormat="1" applyFont="1" applyFill="1" applyBorder="1" applyAlignment="1">
      <alignment horizontal="left" vertical="center"/>
    </xf>
    <xf numFmtId="0" fontId="35" fillId="0" borderId="76" xfId="0" applyNumberFormat="1" applyFont="1" applyFill="1" applyBorder="1" applyAlignment="1">
      <alignment horizontal="left" vertical="center"/>
    </xf>
    <xf numFmtId="41" fontId="35" fillId="0" borderId="76" xfId="2" applyNumberFormat="1" applyFont="1" applyFill="1" applyBorder="1" applyAlignment="1">
      <alignment horizontal="right" vertical="center" shrinkToFit="1"/>
    </xf>
    <xf numFmtId="186" fontId="35" fillId="0" borderId="76" xfId="0" applyNumberFormat="1" applyFont="1" applyFill="1" applyBorder="1" applyAlignment="1">
      <alignment horizontal="right" vertical="center" shrinkToFit="1"/>
    </xf>
    <xf numFmtId="0" fontId="35" fillId="0" borderId="76" xfId="0" applyNumberFormat="1" applyFont="1" applyFill="1" applyBorder="1" applyAlignment="1">
      <alignment horizontal="right" vertical="center" shrinkToFit="1"/>
    </xf>
    <xf numFmtId="9" fontId="36" fillId="0" borderId="76" xfId="3" applyNumberFormat="1" applyFont="1" applyFill="1" applyBorder="1" applyAlignment="1">
      <alignment horizontal="right" vertical="center" shrinkToFit="1"/>
    </xf>
    <xf numFmtId="0" fontId="35" fillId="0" borderId="0" xfId="1" applyNumberFormat="1" applyFont="1" applyFill="1" applyBorder="1" applyAlignment="1">
      <alignment vertical="center" shrinkToFit="1"/>
    </xf>
    <xf numFmtId="183" fontId="35" fillId="0" borderId="0" xfId="1" applyNumberFormat="1" applyFont="1" applyFill="1" applyBorder="1" applyAlignment="1">
      <alignment horizontal="right" vertical="center" shrinkToFit="1"/>
    </xf>
    <xf numFmtId="0" fontId="35" fillId="0" borderId="0" xfId="0" applyNumberFormat="1" applyFont="1" applyFill="1" applyBorder="1" applyAlignment="1">
      <alignment horizontal="right" vertical="center" shrinkToFit="1"/>
    </xf>
    <xf numFmtId="0" fontId="35" fillId="28" borderId="0" xfId="1" applyNumberFormat="1" applyFont="1" applyFill="1" applyBorder="1" applyAlignment="1">
      <alignment vertical="center" shrinkToFit="1"/>
    </xf>
    <xf numFmtId="0" fontId="35" fillId="28" borderId="0" xfId="0" applyNumberFormat="1" applyFont="1" applyFill="1" applyBorder="1" applyAlignment="1">
      <alignment horizontal="left" vertical="center"/>
    </xf>
    <xf numFmtId="41" fontId="35" fillId="28" borderId="0" xfId="2" applyNumberFormat="1" applyFont="1" applyFill="1" applyBorder="1" applyAlignment="1">
      <alignment horizontal="right" vertical="center" shrinkToFit="1"/>
    </xf>
    <xf numFmtId="183" fontId="35" fillId="28" borderId="0" xfId="1" applyNumberFormat="1" applyFont="1" applyFill="1" applyBorder="1" applyAlignment="1">
      <alignment horizontal="right" vertical="center" shrinkToFit="1"/>
    </xf>
    <xf numFmtId="0" fontId="35" fillId="28" borderId="0" xfId="0" applyNumberFormat="1" applyFont="1" applyFill="1" applyBorder="1" applyAlignment="1">
      <alignment horizontal="right" vertical="center" shrinkToFit="1"/>
    </xf>
    <xf numFmtId="180" fontId="35" fillId="28" borderId="0" xfId="0" applyNumberFormat="1" applyFont="1" applyFill="1" applyBorder="1" applyAlignment="1">
      <alignment horizontal="right" vertical="center" shrinkToFit="1"/>
    </xf>
    <xf numFmtId="0" fontId="35" fillId="19" borderId="10" xfId="1" applyNumberFormat="1" applyFont="1" applyFill="1" applyBorder="1" applyAlignment="1">
      <alignment vertical="center" shrinkToFit="1"/>
    </xf>
    <xf numFmtId="0" fontId="35" fillId="19" borderId="10" xfId="0" applyNumberFormat="1" applyFont="1" applyFill="1" applyBorder="1" applyAlignment="1">
      <alignment horizontal="left" vertical="center"/>
    </xf>
    <xf numFmtId="41" fontId="35" fillId="19" borderId="10" xfId="2" applyNumberFormat="1" applyFont="1" applyFill="1" applyBorder="1" applyAlignment="1">
      <alignment horizontal="right" vertical="center" shrinkToFit="1"/>
    </xf>
    <xf numFmtId="183" fontId="35" fillId="19" borderId="10" xfId="1" applyNumberFormat="1" applyFont="1" applyFill="1" applyBorder="1" applyAlignment="1">
      <alignment horizontal="right" vertical="center" shrinkToFit="1"/>
    </xf>
    <xf numFmtId="0" fontId="35" fillId="19" borderId="10" xfId="0" applyNumberFormat="1" applyFont="1" applyFill="1" applyBorder="1" applyAlignment="1">
      <alignment horizontal="right" vertical="center" shrinkToFit="1"/>
    </xf>
    <xf numFmtId="180" fontId="35" fillId="19" borderId="10" xfId="0" applyNumberFormat="1" applyFont="1" applyFill="1" applyBorder="1" applyAlignment="1">
      <alignment horizontal="right" vertical="center" shrinkToFit="1"/>
    </xf>
    <xf numFmtId="41" fontId="35" fillId="2" borderId="108" xfId="2" applyNumberFormat="1" applyFont="1" applyFill="1" applyBorder="1" applyAlignment="1">
      <alignment horizontal="center" vertical="center" shrinkToFit="1"/>
    </xf>
    <xf numFmtId="41" fontId="35" fillId="2" borderId="12" xfId="2" applyNumberFormat="1" applyFont="1" applyFill="1" applyBorder="1" applyAlignment="1">
      <alignment horizontal="center" vertical="center" shrinkToFit="1"/>
    </xf>
    <xf numFmtId="41" fontId="35" fillId="3" borderId="80" xfId="2" applyNumberFormat="1" applyFont="1" applyFill="1" applyBorder="1" applyAlignment="1">
      <alignment horizontal="center" vertical="center" shrinkToFit="1"/>
    </xf>
    <xf numFmtId="0" fontId="36" fillId="0" borderId="0" xfId="0" applyNumberFormat="1" applyFont="1" applyFill="1" applyBorder="1" applyAlignment="1">
      <alignment horizontal="left" vertical="center"/>
    </xf>
    <xf numFmtId="186" fontId="35" fillId="0" borderId="0" xfId="0" applyNumberFormat="1" applyFont="1" applyFill="1" applyBorder="1" applyAlignment="1">
      <alignment horizontal="right" vertical="center" shrinkToFit="1"/>
    </xf>
    <xf numFmtId="183" fontId="36" fillId="0" borderId="0" xfId="0" applyNumberFormat="1" applyFont="1" applyFill="1" applyBorder="1" applyAlignment="1">
      <alignment horizontal="right" vertical="center" shrinkToFit="1"/>
    </xf>
    <xf numFmtId="183" fontId="36" fillId="0" borderId="6" xfId="1" applyNumberFormat="1" applyFont="1" applyFill="1" applyBorder="1" applyAlignment="1">
      <alignment horizontal="right" vertical="center" shrinkToFit="1"/>
    </xf>
    <xf numFmtId="187" fontId="35" fillId="0" borderId="0" xfId="1" applyNumberFormat="1" applyFont="1" applyFill="1" applyBorder="1" applyAlignment="1">
      <alignment horizontal="right" vertical="center" shrinkToFit="1"/>
    </xf>
    <xf numFmtId="0" fontId="36" fillId="0" borderId="8" xfId="1" applyNumberFormat="1" applyFont="1" applyFill="1" applyBorder="1" applyAlignment="1">
      <alignment horizontal="left" vertical="center"/>
    </xf>
    <xf numFmtId="0" fontId="35" fillId="0" borderId="19" xfId="1" applyNumberFormat="1" applyFont="1" applyFill="1" applyBorder="1" applyAlignment="1">
      <alignment horizontal="left" vertical="center"/>
    </xf>
    <xf numFmtId="0" fontId="35" fillId="0" borderId="8" xfId="1" applyNumberFormat="1" applyFont="1" applyFill="1" applyBorder="1" applyAlignment="1">
      <alignment horizontal="left" vertical="center"/>
    </xf>
    <xf numFmtId="41" fontId="35" fillId="0" borderId="8" xfId="2" applyNumberFormat="1" applyFont="1" applyFill="1" applyBorder="1" applyAlignment="1">
      <alignment horizontal="right" vertical="center" shrinkToFit="1"/>
    </xf>
    <xf numFmtId="181" fontId="35" fillId="0" borderId="8" xfId="1" applyNumberFormat="1" applyFont="1" applyFill="1" applyBorder="1" applyAlignment="1">
      <alignment horizontal="right" vertical="center" shrinkToFit="1"/>
    </xf>
    <xf numFmtId="0" fontId="35" fillId="0" borderId="8" xfId="1" applyNumberFormat="1" applyFont="1" applyFill="1" applyBorder="1" applyAlignment="1">
      <alignment horizontal="right" vertical="center" shrinkToFit="1"/>
    </xf>
    <xf numFmtId="188" fontId="35" fillId="0" borderId="8" xfId="1" applyNumberFormat="1" applyFont="1" applyFill="1" applyBorder="1" applyAlignment="1">
      <alignment horizontal="right" vertical="center" shrinkToFit="1"/>
    </xf>
    <xf numFmtId="180" fontId="35" fillId="0" borderId="8" xfId="1" applyNumberFormat="1" applyFont="1" applyFill="1" applyBorder="1" applyAlignment="1">
      <alignment horizontal="right" vertical="center" shrinkToFit="1"/>
    </xf>
    <xf numFmtId="188" fontId="35" fillId="0" borderId="0" xfId="1" applyNumberFormat="1" applyFont="1" applyFill="1" applyBorder="1" applyAlignment="1">
      <alignment horizontal="right" vertical="center" shrinkToFit="1"/>
    </xf>
    <xf numFmtId="41" fontId="35" fillId="2" borderId="21" xfId="2" applyNumberFormat="1" applyFont="1" applyFill="1" applyBorder="1" applyAlignment="1">
      <alignment horizontal="center" vertical="center" shrinkToFit="1"/>
    </xf>
    <xf numFmtId="41" fontId="35" fillId="2" borderId="36" xfId="2" applyNumberFormat="1" applyFont="1" applyFill="1" applyBorder="1" applyAlignment="1">
      <alignment horizontal="center" vertical="center" shrinkToFit="1"/>
    </xf>
    <xf numFmtId="0" fontId="36" fillId="0" borderId="73" xfId="1" applyNumberFormat="1" applyFont="1" applyFill="1" applyBorder="1" applyAlignment="1">
      <alignment horizontal="left" vertical="center"/>
    </xf>
    <xf numFmtId="0" fontId="35" fillId="0" borderId="73" xfId="1" applyNumberFormat="1" applyFont="1" applyFill="1" applyBorder="1" applyAlignment="1">
      <alignment horizontal="left" vertical="center"/>
    </xf>
    <xf numFmtId="181" fontId="35" fillId="0" borderId="73" xfId="1" applyNumberFormat="1" applyFont="1" applyFill="1" applyBorder="1" applyAlignment="1">
      <alignment horizontal="right" vertical="center" shrinkToFit="1"/>
    </xf>
    <xf numFmtId="0" fontId="40" fillId="2" borderId="89" xfId="0" applyNumberFormat="1" applyFont="1" applyFill="1" applyBorder="1">
      <alignment vertical="center"/>
    </xf>
    <xf numFmtId="41" fontId="40" fillId="2" borderId="89" xfId="0" applyNumberFormat="1" applyFont="1" applyFill="1" applyBorder="1">
      <alignment vertical="center"/>
    </xf>
    <xf numFmtId="41" fontId="35" fillId="3" borderId="17" xfId="2" applyNumberFormat="1" applyFont="1" applyFill="1" applyBorder="1" applyAlignment="1">
      <alignment horizontal="center" vertical="center" shrinkToFit="1"/>
    </xf>
    <xf numFmtId="0" fontId="35" fillId="0" borderId="140" xfId="1" applyNumberFormat="1" applyFont="1" applyFill="1" applyBorder="1" applyAlignment="1">
      <alignment vertical="center" shrinkToFit="1"/>
    </xf>
    <xf numFmtId="181" fontId="35" fillId="0" borderId="97" xfId="1" applyNumberFormat="1" applyFont="1" applyFill="1" applyBorder="1" applyAlignment="1">
      <alignment horizontal="right" vertical="center" shrinkToFit="1"/>
    </xf>
    <xf numFmtId="0" fontId="35" fillId="0" borderId="82" xfId="1" applyNumberFormat="1" applyFont="1" applyFill="1" applyBorder="1" applyAlignment="1">
      <alignment vertical="center" shrinkToFit="1"/>
    </xf>
    <xf numFmtId="0" fontId="35" fillId="0" borderId="147" xfId="1" applyNumberFormat="1" applyFont="1" applyFill="1" applyBorder="1" applyAlignment="1">
      <alignment vertical="center" shrinkToFit="1"/>
    </xf>
    <xf numFmtId="0" fontId="35" fillId="0" borderId="151" xfId="1" applyNumberFormat="1" applyFont="1" applyFill="1" applyBorder="1" applyAlignment="1">
      <alignment horizontal="left" vertical="center"/>
    </xf>
    <xf numFmtId="41" fontId="35" fillId="0" borderId="151" xfId="2" applyNumberFormat="1" applyFont="1" applyFill="1" applyBorder="1" applyAlignment="1">
      <alignment horizontal="right" vertical="center" shrinkToFit="1"/>
    </xf>
    <xf numFmtId="181" fontId="35" fillId="0" borderId="151" xfId="1" applyNumberFormat="1" applyFont="1" applyFill="1" applyBorder="1" applyAlignment="1">
      <alignment horizontal="right" vertical="center" shrinkToFit="1"/>
    </xf>
    <xf numFmtId="0" fontId="35" fillId="0" borderId="0" xfId="1" applyNumberFormat="1" applyFont="1" applyFill="1" applyBorder="1" applyAlignment="1">
      <alignment horizontal="right" vertical="center"/>
    </xf>
    <xf numFmtId="0" fontId="35" fillId="0" borderId="0" xfId="1" applyNumberFormat="1" applyFont="1" applyFill="1" applyBorder="1" applyAlignment="1">
      <alignment horizontal="center" vertical="center"/>
    </xf>
    <xf numFmtId="41" fontId="35" fillId="0" borderId="0" xfId="2" applyNumberFormat="1" applyFont="1" applyFill="1" applyBorder="1" applyAlignment="1">
      <alignment horizontal="center" vertical="center"/>
    </xf>
    <xf numFmtId="0" fontId="37" fillId="0" borderId="0" xfId="1" applyNumberFormat="1" applyFont="1" applyFill="1" applyAlignment="1">
      <alignment horizontal="center" vertical="center"/>
    </xf>
    <xf numFmtId="0" fontId="37" fillId="0" borderId="0" xfId="1" applyNumberFormat="1" applyFont="1" applyFill="1" applyAlignment="1">
      <alignment horizontal="right" vertical="center"/>
    </xf>
    <xf numFmtId="41" fontId="35" fillId="0" borderId="12" xfId="4" applyNumberFormat="1" applyFont="1" applyFill="1" applyBorder="1" applyAlignment="1">
      <alignment horizontal="right" vertical="center" shrinkToFit="1"/>
    </xf>
    <xf numFmtId="181" fontId="35" fillId="0" borderId="12" xfId="0" applyNumberFormat="1" applyFont="1" applyFill="1" applyBorder="1" applyAlignment="1">
      <alignment horizontal="right" vertical="center" shrinkToFit="1"/>
    </xf>
    <xf numFmtId="0" fontId="35" fillId="0" borderId="12" xfId="1" applyNumberFormat="1" applyFont="1" applyFill="1" applyBorder="1" applyAlignment="1">
      <alignment vertical="center"/>
    </xf>
    <xf numFmtId="0" fontId="35" fillId="0" borderId="12" xfId="1" applyNumberFormat="1" applyFont="1" applyFill="1" applyBorder="1" applyAlignment="1">
      <alignment horizontal="right" vertical="center" shrinkToFit="1"/>
    </xf>
    <xf numFmtId="3" fontId="35" fillId="0" borderId="12" xfId="1" applyNumberFormat="1" applyFont="1" applyFill="1" applyBorder="1" applyAlignment="1">
      <alignment horizontal="right" vertical="center" shrinkToFit="1"/>
    </xf>
    <xf numFmtId="9" fontId="35" fillId="0" borderId="8" xfId="3" applyNumberFormat="1" applyFont="1" applyFill="1" applyBorder="1" applyAlignment="1">
      <alignment horizontal="right" vertical="center" shrinkToFit="1"/>
    </xf>
    <xf numFmtId="9" fontId="35" fillId="0" borderId="0" xfId="3" applyNumberFormat="1" applyFont="1" applyFill="1" applyBorder="1" applyAlignment="1">
      <alignment horizontal="right" vertical="center" shrinkToFit="1"/>
    </xf>
    <xf numFmtId="3" fontId="35" fillId="0" borderId="0" xfId="1" applyNumberFormat="1" applyFont="1" applyFill="1" applyBorder="1" applyAlignment="1">
      <alignment horizontal="right" vertical="center" shrinkToFit="1"/>
    </xf>
    <xf numFmtId="0" fontId="35" fillId="0" borderId="73" xfId="1" applyNumberFormat="1" applyFont="1" applyFill="1" applyBorder="1" applyAlignment="1">
      <alignment vertical="center"/>
    </xf>
    <xf numFmtId="41" fontId="35" fillId="0" borderId="73" xfId="4" applyNumberFormat="1" applyFont="1" applyFill="1" applyBorder="1" applyAlignment="1">
      <alignment horizontal="right" vertical="center" shrinkToFit="1"/>
    </xf>
    <xf numFmtId="181" fontId="35" fillId="0" borderId="73" xfId="0" applyNumberFormat="1" applyFont="1" applyFill="1" applyBorder="1" applyAlignment="1">
      <alignment horizontal="right" vertical="center" shrinkToFit="1"/>
    </xf>
    <xf numFmtId="0" fontId="35" fillId="0" borderId="73" xfId="1" applyNumberFormat="1" applyFont="1" applyFill="1" applyBorder="1" applyAlignment="1">
      <alignment horizontal="right" vertical="center" shrinkToFit="1"/>
    </xf>
    <xf numFmtId="3" fontId="35" fillId="0" borderId="73" xfId="1" applyNumberFormat="1" applyFont="1" applyFill="1" applyBorder="1" applyAlignment="1">
      <alignment horizontal="right" vertical="center" shrinkToFit="1"/>
    </xf>
    <xf numFmtId="0" fontId="35" fillId="0" borderId="8" xfId="1" applyNumberFormat="1" applyFont="1" applyFill="1" applyBorder="1" applyAlignment="1">
      <alignment vertical="center"/>
    </xf>
    <xf numFmtId="3" fontId="35" fillId="0" borderId="8" xfId="1" applyNumberFormat="1" applyFont="1" applyFill="1" applyBorder="1" applyAlignment="1">
      <alignment horizontal="right" vertical="center" shrinkToFit="1"/>
    </xf>
    <xf numFmtId="0" fontId="35" fillId="0" borderId="8" xfId="0" applyNumberFormat="1" applyFont="1" applyFill="1" applyBorder="1" applyAlignment="1">
      <alignment horizontal="left" vertical="center"/>
    </xf>
    <xf numFmtId="41" fontId="35" fillId="0" borderId="8" xfId="4" applyNumberFormat="1" applyFont="1" applyFill="1" applyBorder="1" applyAlignment="1">
      <alignment horizontal="right" vertical="center" shrinkToFit="1"/>
    </xf>
    <xf numFmtId="180" fontId="35" fillId="0" borderId="8" xfId="0" applyNumberFormat="1" applyFont="1" applyFill="1" applyBorder="1" applyAlignment="1">
      <alignment horizontal="right" vertical="center" shrinkToFit="1"/>
    </xf>
    <xf numFmtId="41" fontId="35" fillId="0" borderId="28" xfId="2" applyNumberFormat="1" applyFont="1" applyFill="1" applyBorder="1" applyAlignment="1">
      <alignment horizontal="right" vertical="center" shrinkToFit="1"/>
    </xf>
    <xf numFmtId="9" fontId="35" fillId="0" borderId="12" xfId="3" applyNumberFormat="1" applyFont="1" applyFill="1" applyBorder="1" applyAlignment="1">
      <alignment horizontal="right" vertical="center" shrinkToFit="1"/>
    </xf>
    <xf numFmtId="9" fontId="35" fillId="0" borderId="73" xfId="1" applyNumberFormat="1" applyFont="1" applyFill="1" applyBorder="1" applyAlignment="1" applyProtection="1">
      <alignment horizontal="right" vertical="center" shrinkToFit="1"/>
    </xf>
    <xf numFmtId="188" fontId="35" fillId="0" borderId="8" xfId="4" applyNumberFormat="1" applyFont="1" applyFill="1" applyBorder="1" applyAlignment="1" applyProtection="1">
      <alignment horizontal="right" vertical="center" shrinkToFit="1"/>
    </xf>
    <xf numFmtId="181" fontId="35" fillId="0" borderId="8" xfId="1" applyNumberFormat="1" applyFont="1" applyFill="1" applyBorder="1" applyAlignment="1" applyProtection="1">
      <alignment horizontal="right" vertical="center" shrinkToFit="1"/>
    </xf>
    <xf numFmtId="188" fontId="35" fillId="0" borderId="12" xfId="4" applyNumberFormat="1" applyFont="1" applyFill="1" applyBorder="1" applyAlignment="1" applyProtection="1">
      <alignment horizontal="right" vertical="center" shrinkToFit="1"/>
    </xf>
    <xf numFmtId="181" fontId="35" fillId="0" borderId="12" xfId="1" applyNumberFormat="1" applyFont="1" applyFill="1" applyBorder="1" applyAlignment="1" applyProtection="1">
      <alignment horizontal="right" vertical="center" shrinkToFit="1"/>
    </xf>
    <xf numFmtId="0" fontId="35" fillId="0" borderId="6" xfId="1" applyNumberFormat="1" applyFont="1" applyFill="1" applyBorder="1" applyAlignment="1">
      <alignment vertical="center"/>
    </xf>
    <xf numFmtId="9" fontId="35" fillId="0" borderId="6" xfId="3" applyNumberFormat="1" applyFont="1" applyFill="1" applyBorder="1" applyAlignment="1">
      <alignment horizontal="right" vertical="center" shrinkToFit="1"/>
    </xf>
    <xf numFmtId="41" fontId="35" fillId="0" borderId="23" xfId="2" applyNumberFormat="1" applyFont="1" applyFill="1" applyBorder="1" applyAlignment="1">
      <alignment horizontal="right" vertical="center" shrinkToFit="1"/>
    </xf>
    <xf numFmtId="187" fontId="35" fillId="0" borderId="0" xfId="1" applyNumberFormat="1" applyFont="1" applyFill="1" applyBorder="1" applyAlignment="1" applyProtection="1">
      <alignment horizontal="right" vertical="center" shrinkToFit="1"/>
    </xf>
    <xf numFmtId="185" fontId="35" fillId="0" borderId="24" xfId="2" applyNumberFormat="1" applyFont="1" applyFill="1" applyBorder="1" applyAlignment="1">
      <alignment horizontal="right" vertical="center" shrinkToFit="1"/>
    </xf>
    <xf numFmtId="0" fontId="36" fillId="0" borderId="11" xfId="1" applyNumberFormat="1" applyFont="1" applyFill="1" applyBorder="1" applyAlignment="1">
      <alignment vertical="center" shrinkToFit="1"/>
    </xf>
    <xf numFmtId="187" fontId="35" fillId="0" borderId="12" xfId="1" applyNumberFormat="1" applyFont="1" applyFill="1" applyBorder="1" applyAlignment="1" applyProtection="1">
      <alignment horizontal="right" vertical="center" shrinkToFit="1"/>
    </xf>
    <xf numFmtId="181" fontId="35" fillId="0" borderId="12" xfId="1" applyNumberFormat="1" applyFont="1" applyFill="1" applyBorder="1" applyAlignment="1">
      <alignment horizontal="right" vertical="center" shrinkToFit="1"/>
    </xf>
    <xf numFmtId="180" fontId="35" fillId="0" borderId="12" xfId="1" applyNumberFormat="1" applyFont="1" applyFill="1" applyBorder="1" applyAlignment="1">
      <alignment horizontal="right" vertical="center" shrinkToFit="1"/>
    </xf>
    <xf numFmtId="0" fontId="36" fillId="0" borderId="0" xfId="1" applyNumberFormat="1" applyFont="1" applyFill="1" applyBorder="1" applyAlignment="1">
      <alignment vertical="center" shrinkToFit="1"/>
    </xf>
    <xf numFmtId="0" fontId="39" fillId="0" borderId="0" xfId="1" applyNumberFormat="1" applyFont="1" applyFill="1" applyBorder="1" applyAlignment="1">
      <alignment horizontal="left" vertical="center"/>
    </xf>
    <xf numFmtId="0" fontId="35" fillId="0" borderId="1" xfId="1" applyNumberFormat="1" applyFont="1" applyFill="1" applyBorder="1" applyAlignment="1">
      <alignment vertical="center" shrinkToFit="1"/>
    </xf>
    <xf numFmtId="0" fontId="35" fillId="0" borderId="10" xfId="0" applyNumberFormat="1" applyFont="1" applyFill="1" applyBorder="1" applyAlignment="1">
      <alignment horizontal="left" vertical="center"/>
    </xf>
    <xf numFmtId="41" fontId="35" fillId="0" borderId="10" xfId="2" applyNumberFormat="1" applyFont="1" applyFill="1" applyBorder="1" applyAlignment="1">
      <alignment horizontal="right" vertical="center" shrinkToFit="1"/>
    </xf>
    <xf numFmtId="180" fontId="35" fillId="0" borderId="10" xfId="0" applyNumberFormat="1" applyFont="1" applyFill="1" applyBorder="1" applyAlignment="1">
      <alignment horizontal="right" vertical="center" shrinkToFit="1"/>
    </xf>
    <xf numFmtId="0" fontId="35" fillId="0" borderId="10" xfId="0" applyNumberFormat="1" applyFont="1" applyFill="1" applyBorder="1" applyAlignment="1">
      <alignment horizontal="right" vertical="center" shrinkToFit="1"/>
    </xf>
    <xf numFmtId="181" fontId="35" fillId="0" borderId="10" xfId="0" applyNumberFormat="1" applyFont="1" applyFill="1" applyBorder="1" applyAlignment="1">
      <alignment horizontal="right" vertical="center" shrinkToFit="1"/>
    </xf>
    <xf numFmtId="41" fontId="35" fillId="0" borderId="15" xfId="2" applyNumberFormat="1" applyFont="1" applyFill="1" applyBorder="1" applyAlignment="1">
      <alignment horizontal="right" vertical="center" shrinkToFit="1"/>
    </xf>
    <xf numFmtId="0" fontId="24" fillId="0" borderId="47" xfId="1" applyNumberFormat="1" applyFont="1" applyFill="1" applyBorder="1" applyAlignment="1" applyProtection="1">
      <alignment vertical="center"/>
    </xf>
    <xf numFmtId="0" fontId="24" fillId="0" borderId="48" xfId="1" applyNumberFormat="1" applyFont="1" applyFill="1" applyBorder="1" applyAlignment="1" applyProtection="1">
      <alignment vertical="center"/>
    </xf>
    <xf numFmtId="0" fontId="8" fillId="4" borderId="88" xfId="1" applyNumberFormat="1" applyFont="1" applyFill="1" applyBorder="1" applyAlignment="1">
      <alignment horizontal="center" vertical="center" wrapText="1"/>
    </xf>
    <xf numFmtId="0" fontId="8" fillId="4" borderId="79" xfId="1" applyNumberFormat="1" applyFont="1" applyFill="1" applyBorder="1" applyAlignment="1">
      <alignment horizontal="center" vertical="center" wrapText="1"/>
    </xf>
    <xf numFmtId="0" fontId="5" fillId="4" borderId="58" xfId="1" applyNumberFormat="1" applyFont="1" applyFill="1" applyBorder="1" applyAlignment="1" applyProtection="1">
      <alignment horizontal="center" vertical="center"/>
    </xf>
    <xf numFmtId="0" fontId="5" fillId="4" borderId="53" xfId="1" applyNumberFormat="1" applyFont="1" applyFill="1" applyBorder="1" applyAlignment="1" applyProtection="1">
      <alignment horizontal="center" vertical="center"/>
    </xf>
    <xf numFmtId="0" fontId="24" fillId="0" borderId="20" xfId="1" applyNumberFormat="1" applyFont="1" applyFill="1" applyBorder="1" applyAlignment="1" applyProtection="1">
      <alignment vertical="center"/>
    </xf>
    <xf numFmtId="0" fontId="24" fillId="0" borderId="18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vertical="center"/>
    </xf>
    <xf numFmtId="41" fontId="9" fillId="4" borderId="79" xfId="1" applyNumberFormat="1" applyFont="1" applyFill="1" applyBorder="1" applyAlignment="1">
      <alignment horizontal="center" vertical="center" wrapText="1"/>
    </xf>
    <xf numFmtId="41" fontId="9" fillId="4" borderId="80" xfId="1" applyNumberFormat="1" applyFont="1" applyFill="1" applyBorder="1" applyAlignment="1">
      <alignment horizontal="center" vertical="center" wrapText="1"/>
    </xf>
    <xf numFmtId="41" fontId="9" fillId="4" borderId="91" xfId="1" applyNumberFormat="1" applyFont="1" applyFill="1" applyBorder="1" applyAlignment="1">
      <alignment horizontal="center" vertical="center" wrapText="1"/>
    </xf>
    <xf numFmtId="41" fontId="9" fillId="4" borderId="84" xfId="1" applyNumberFormat="1" applyFont="1" applyFill="1" applyBorder="1" applyAlignment="1">
      <alignment horizontal="center" vertical="center" wrapText="1"/>
    </xf>
    <xf numFmtId="0" fontId="4" fillId="4" borderId="92" xfId="1" applyNumberFormat="1" applyFont="1" applyFill="1" applyBorder="1" applyAlignment="1">
      <alignment horizontal="center" vertical="center"/>
    </xf>
    <xf numFmtId="0" fontId="4" fillId="4" borderId="93" xfId="1" applyNumberFormat="1" applyFont="1" applyFill="1" applyBorder="1" applyAlignment="1">
      <alignment horizontal="center" vertical="center"/>
    </xf>
    <xf numFmtId="0" fontId="4" fillId="4" borderId="94" xfId="1" applyNumberFormat="1" applyFont="1" applyFill="1" applyBorder="1" applyAlignment="1">
      <alignment horizontal="center" vertical="center"/>
    </xf>
    <xf numFmtId="0" fontId="5" fillId="5" borderId="44" xfId="1" applyNumberFormat="1" applyFont="1" applyFill="1" applyBorder="1" applyAlignment="1" applyProtection="1">
      <alignment horizontal="center" vertical="center"/>
    </xf>
    <xf numFmtId="0" fontId="5" fillId="5" borderId="57" xfId="1" applyNumberFormat="1" applyFont="1" applyFill="1" applyBorder="1" applyAlignment="1" applyProtection="1">
      <alignment horizontal="center" vertical="center"/>
    </xf>
    <xf numFmtId="0" fontId="16" fillId="0" borderId="0" xfId="1" applyNumberFormat="1" applyFont="1" applyAlignment="1">
      <alignment horizontal="center" vertical="center"/>
    </xf>
    <xf numFmtId="0" fontId="4" fillId="4" borderId="90" xfId="1" applyNumberFormat="1" applyFont="1" applyFill="1" applyBorder="1" applyAlignment="1">
      <alignment horizontal="center" vertical="center" wrapText="1"/>
    </xf>
    <xf numFmtId="0" fontId="4" fillId="4" borderId="83" xfId="1" applyNumberFormat="1" applyFont="1" applyFill="1" applyBorder="1" applyAlignment="1">
      <alignment horizontal="center" vertical="center"/>
    </xf>
    <xf numFmtId="0" fontId="2" fillId="0" borderId="0" xfId="1" applyNumberFormat="1" applyFont="1" applyBorder="1" applyAlignment="1">
      <alignment horizontal="left" vertical="center"/>
    </xf>
    <xf numFmtId="0" fontId="24" fillId="0" borderId="139" xfId="1" applyNumberFormat="1" applyFont="1" applyFill="1" applyBorder="1" applyAlignment="1" applyProtection="1">
      <alignment horizontal="left" vertical="center"/>
    </xf>
    <xf numFmtId="0" fontId="24" fillId="0" borderId="96" xfId="1" applyNumberFormat="1" applyFont="1" applyFill="1" applyBorder="1" applyAlignment="1" applyProtection="1">
      <alignment horizontal="left" vertical="center"/>
    </xf>
    <xf numFmtId="41" fontId="9" fillId="4" borderId="27" xfId="1" applyNumberFormat="1" applyFont="1" applyFill="1" applyBorder="1" applyAlignment="1">
      <alignment horizontal="center" vertical="center" wrapText="1"/>
    </xf>
    <xf numFmtId="41" fontId="9" fillId="4" borderId="23" xfId="1" applyNumberFormat="1" applyFont="1" applyFill="1" applyBorder="1" applyAlignment="1">
      <alignment horizontal="center" vertical="center" wrapText="1"/>
    </xf>
    <xf numFmtId="9" fontId="2" fillId="0" borderId="41" xfId="1" applyNumberFormat="1" applyFont="1" applyFill="1" applyBorder="1" applyAlignment="1">
      <alignment horizontal="right" vertical="center"/>
    </xf>
    <xf numFmtId="9" fontId="2" fillId="0" borderId="135" xfId="1" applyNumberFormat="1" applyFont="1" applyFill="1" applyBorder="1" applyAlignment="1">
      <alignment horizontal="right" vertical="center"/>
    </xf>
    <xf numFmtId="41" fontId="9" fillId="4" borderId="106" xfId="1" applyNumberFormat="1" applyFont="1" applyFill="1" applyBorder="1" applyAlignment="1">
      <alignment horizontal="center" vertical="center" wrapText="1"/>
    </xf>
    <xf numFmtId="41" fontId="9" fillId="4" borderId="107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 shrinkToFit="1"/>
    </xf>
    <xf numFmtId="0" fontId="2" fillId="0" borderId="124" xfId="1" applyNumberFormat="1" applyFont="1" applyFill="1" applyBorder="1" applyAlignment="1" applyProtection="1">
      <alignment horizontal="center" vertical="top" shrinkToFit="1"/>
    </xf>
    <xf numFmtId="0" fontId="2" fillId="0" borderId="125" xfId="1" applyNumberFormat="1" applyFont="1" applyFill="1" applyBorder="1" applyAlignment="1" applyProtection="1">
      <alignment horizontal="center" vertical="top" shrinkToFit="1"/>
    </xf>
    <xf numFmtId="0" fontId="2" fillId="0" borderId="5" xfId="1" applyNumberFormat="1" applyFont="1" applyFill="1" applyBorder="1" applyAlignment="1">
      <alignment horizontal="center" vertical="top" shrinkToFit="1"/>
    </xf>
    <xf numFmtId="0" fontId="2" fillId="0" borderId="4" xfId="1" applyNumberFormat="1" applyFont="1" applyFill="1" applyBorder="1" applyAlignment="1">
      <alignment horizontal="center" vertical="top" shrinkToFit="1"/>
    </xf>
    <xf numFmtId="0" fontId="2" fillId="0" borderId="2" xfId="1" applyNumberFormat="1" applyFont="1" applyFill="1" applyBorder="1" applyAlignment="1">
      <alignment horizontal="center" vertical="top" shrinkToFit="1"/>
    </xf>
    <xf numFmtId="0" fontId="2" fillId="0" borderId="77" xfId="1" applyNumberFormat="1" applyFont="1" applyFill="1" applyBorder="1" applyAlignment="1" applyProtection="1">
      <alignment horizontal="center" vertical="top" shrinkToFit="1"/>
    </xf>
    <xf numFmtId="0" fontId="2" fillId="0" borderId="78" xfId="1" applyNumberFormat="1" applyFont="1" applyFill="1" applyBorder="1" applyAlignment="1" applyProtection="1">
      <alignment horizontal="center" vertical="top" shrinkToFit="1"/>
    </xf>
    <xf numFmtId="0" fontId="2" fillId="0" borderId="95" xfId="1" applyNumberFormat="1" applyFont="1" applyFill="1" applyBorder="1" applyAlignment="1" applyProtection="1">
      <alignment horizontal="center" vertical="top" shrinkToFit="1"/>
    </xf>
    <xf numFmtId="0" fontId="5" fillId="0" borderId="0" xfId="1" applyNumberFormat="1" applyFont="1" applyFill="1" applyBorder="1" applyAlignment="1">
      <alignment horizontal="left" vertical="center"/>
    </xf>
    <xf numFmtId="0" fontId="4" fillId="4" borderId="59" xfId="1" applyNumberFormat="1" applyFont="1" applyFill="1" applyBorder="1" applyAlignment="1">
      <alignment horizontal="center" vertical="center"/>
    </xf>
    <xf numFmtId="0" fontId="4" fillId="4" borderId="13" xfId="1" applyNumberFormat="1" applyFont="1" applyFill="1" applyBorder="1" applyAlignment="1">
      <alignment horizontal="center" vertical="center"/>
    </xf>
    <xf numFmtId="41" fontId="9" fillId="4" borderId="108" xfId="1" applyNumberFormat="1" applyFont="1" applyFill="1" applyBorder="1" applyAlignment="1">
      <alignment horizontal="center" vertical="center" wrapText="1"/>
    </xf>
    <xf numFmtId="0" fontId="16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41" fontId="2" fillId="0" borderId="132" xfId="1" applyNumberFormat="1" applyFont="1" applyFill="1" applyBorder="1" applyAlignment="1">
      <alignment horizontal="right" vertical="center"/>
    </xf>
    <xf numFmtId="41" fontId="2" fillId="0" borderId="131" xfId="1" applyNumberFormat="1" applyFont="1" applyFill="1" applyBorder="1" applyAlignment="1">
      <alignment horizontal="right" vertical="center"/>
    </xf>
    <xf numFmtId="0" fontId="2" fillId="0" borderId="134" xfId="1" applyNumberFormat="1" applyFont="1" applyFill="1" applyBorder="1" applyAlignment="1">
      <alignment horizontal="center" vertical="center" shrinkToFit="1"/>
    </xf>
    <xf numFmtId="0" fontId="2" fillId="0" borderId="64" xfId="1" applyNumberFormat="1" applyFont="1" applyFill="1" applyBorder="1" applyAlignment="1">
      <alignment horizontal="center" vertical="center" shrinkToFit="1"/>
    </xf>
    <xf numFmtId="41" fontId="2" fillId="0" borderId="132" xfId="2" applyNumberFormat="1" applyFont="1" applyFill="1" applyBorder="1" applyAlignment="1">
      <alignment horizontal="right" vertical="center"/>
    </xf>
    <xf numFmtId="41" fontId="2" fillId="0" borderId="131" xfId="2" applyNumberFormat="1" applyFont="1" applyFill="1" applyBorder="1" applyAlignment="1">
      <alignment horizontal="right" vertical="center"/>
    </xf>
    <xf numFmtId="0" fontId="4" fillId="5" borderId="5" xfId="1" applyNumberFormat="1" applyFont="1" applyFill="1" applyBorder="1" applyAlignment="1">
      <alignment horizontal="center" vertical="center" shrinkToFit="1"/>
    </xf>
    <xf numFmtId="0" fontId="4" fillId="5" borderId="17" xfId="1" quotePrefix="1" applyNumberFormat="1" applyFont="1" applyFill="1" applyBorder="1" applyAlignment="1">
      <alignment horizontal="center" vertical="center" shrinkToFit="1"/>
    </xf>
    <xf numFmtId="0" fontId="4" fillId="5" borderId="42" xfId="1" applyNumberFormat="1" applyFont="1" applyFill="1" applyBorder="1" applyAlignment="1">
      <alignment horizontal="center" vertical="center" shrinkToFit="1"/>
    </xf>
    <xf numFmtId="0" fontId="4" fillId="5" borderId="8" xfId="1" applyNumberFormat="1" applyFont="1" applyFill="1" applyBorder="1" applyAlignment="1">
      <alignment horizontal="center" vertical="center" shrinkToFit="1"/>
    </xf>
    <xf numFmtId="0" fontId="4" fillId="5" borderId="19" xfId="1" applyNumberFormat="1" applyFont="1" applyFill="1" applyBorder="1" applyAlignment="1">
      <alignment horizontal="center" vertical="center" shrinkToFit="1"/>
    </xf>
    <xf numFmtId="0" fontId="4" fillId="2" borderId="56" xfId="1" applyNumberFormat="1" applyFont="1" applyFill="1" applyBorder="1" applyAlignment="1">
      <alignment horizontal="center" vertical="center" shrinkToFit="1"/>
    </xf>
    <xf numFmtId="0" fontId="4" fillId="2" borderId="122" xfId="1" applyNumberFormat="1" applyFont="1" applyFill="1" applyBorder="1" applyAlignment="1">
      <alignment horizontal="center" vertical="center" shrinkToFit="1"/>
    </xf>
    <xf numFmtId="0" fontId="2" fillId="0" borderId="128" xfId="1" applyNumberFormat="1" applyFont="1" applyFill="1" applyBorder="1" applyAlignment="1">
      <alignment horizontal="center" vertical="top" shrinkToFit="1"/>
    </xf>
    <xf numFmtId="0" fontId="2" fillId="0" borderId="129" xfId="1" applyNumberFormat="1" applyFont="1" applyFill="1" applyBorder="1" applyAlignment="1">
      <alignment horizontal="center" vertical="top" shrinkToFit="1"/>
    </xf>
    <xf numFmtId="0" fontId="2" fillId="0" borderId="130" xfId="1" applyNumberFormat="1" applyFont="1" applyFill="1" applyBorder="1" applyAlignment="1">
      <alignment horizontal="center" vertical="top" shrinkToFit="1"/>
    </xf>
    <xf numFmtId="9" fontId="7" fillId="0" borderId="137" xfId="1" applyNumberFormat="1" applyFont="1" applyFill="1" applyBorder="1" applyAlignment="1">
      <alignment horizontal="right" vertical="center"/>
    </xf>
    <xf numFmtId="9" fontId="7" fillId="0" borderId="99" xfId="1" applyNumberFormat="1" applyFont="1" applyFill="1" applyBorder="1" applyAlignment="1">
      <alignment horizontal="right" vertical="center"/>
    </xf>
    <xf numFmtId="9" fontId="7" fillId="0" borderId="104" xfId="1" applyNumberFormat="1" applyFont="1" applyFill="1" applyBorder="1" applyAlignment="1">
      <alignment horizontal="right" vertical="center"/>
    </xf>
    <xf numFmtId="41" fontId="31" fillId="2" borderId="16" xfId="2" applyNumberFormat="1" applyFont="1" applyFill="1" applyBorder="1" applyAlignment="1">
      <alignment horizontal="center" vertical="center" shrinkToFit="1"/>
    </xf>
    <xf numFmtId="41" fontId="31" fillId="2" borderId="6" xfId="2" applyNumberFormat="1" applyFont="1" applyFill="1" applyBorder="1" applyAlignment="1">
      <alignment horizontal="center" vertical="center" shrinkToFit="1"/>
    </xf>
    <xf numFmtId="41" fontId="31" fillId="2" borderId="35" xfId="2" applyNumberFormat="1" applyFont="1" applyFill="1" applyBorder="1" applyAlignment="1">
      <alignment horizontal="center" vertical="center" shrinkToFit="1"/>
    </xf>
    <xf numFmtId="0" fontId="31" fillId="0" borderId="74" xfId="1" applyNumberFormat="1" applyFont="1" applyFill="1" applyBorder="1" applyAlignment="1">
      <alignment horizontal="left" vertical="center" shrinkToFit="1"/>
    </xf>
    <xf numFmtId="0" fontId="31" fillId="0" borderId="0" xfId="1" applyNumberFormat="1" applyFont="1" applyFill="1" applyBorder="1" applyAlignment="1">
      <alignment horizontal="left" vertical="center" shrinkToFit="1"/>
    </xf>
    <xf numFmtId="41" fontId="31" fillId="6" borderId="60" xfId="2" applyNumberFormat="1" applyFont="1" applyFill="1" applyBorder="1" applyAlignment="1">
      <alignment horizontal="center" vertical="center" shrinkToFit="1"/>
    </xf>
    <xf numFmtId="41" fontId="31" fillId="6" borderId="6" xfId="2" applyNumberFormat="1" applyFont="1" applyFill="1" applyBorder="1" applyAlignment="1">
      <alignment horizontal="center" vertical="center" shrinkToFit="1"/>
    </xf>
    <xf numFmtId="41" fontId="31" fillId="6" borderId="35" xfId="2" applyNumberFormat="1" applyFont="1" applyFill="1" applyBorder="1" applyAlignment="1">
      <alignment horizontal="center" vertical="center" shrinkToFit="1"/>
    </xf>
    <xf numFmtId="0" fontId="31" fillId="0" borderId="74" xfId="1" applyNumberFormat="1" applyFont="1" applyFill="1" applyBorder="1" applyAlignment="1" applyProtection="1">
      <alignment horizontal="left" vertical="center" shrinkToFit="1"/>
    </xf>
    <xf numFmtId="0" fontId="31" fillId="0" borderId="0" xfId="1" applyNumberFormat="1" applyFont="1" applyFill="1" applyBorder="1" applyAlignment="1" applyProtection="1">
      <alignment horizontal="left" vertical="center" shrinkToFit="1"/>
    </xf>
    <xf numFmtId="0" fontId="32" fillId="0" borderId="42" xfId="1" applyNumberFormat="1" applyFont="1" applyFill="1" applyBorder="1" applyAlignment="1">
      <alignment horizontal="left" vertical="center" shrinkToFit="1"/>
    </xf>
    <xf numFmtId="0" fontId="32" fillId="0" borderId="8" xfId="1" applyNumberFormat="1" applyFont="1" applyFill="1" applyBorder="1" applyAlignment="1">
      <alignment horizontal="left" vertical="center" shrinkToFit="1"/>
    </xf>
    <xf numFmtId="0" fontId="31" fillId="0" borderId="74" xfId="1" applyNumberFormat="1" applyFont="1" applyFill="1" applyBorder="1" applyAlignment="1" applyProtection="1">
      <alignment horizontal="center" vertical="center" shrinkToFit="1"/>
    </xf>
    <xf numFmtId="0" fontId="31" fillId="0" borderId="0" xfId="1" applyNumberFormat="1" applyFont="1" applyFill="1" applyBorder="1" applyAlignment="1" applyProtection="1">
      <alignment horizontal="center" vertical="center" shrinkToFit="1"/>
    </xf>
    <xf numFmtId="0" fontId="31" fillId="0" borderId="74" xfId="1" applyNumberFormat="1" applyFont="1" applyFill="1" applyBorder="1" applyAlignment="1" applyProtection="1">
      <alignment vertical="center" shrinkToFit="1"/>
    </xf>
    <xf numFmtId="0" fontId="31" fillId="0" borderId="0" xfId="1" applyNumberFormat="1" applyFont="1" applyFill="1" applyBorder="1" applyAlignment="1" applyProtection="1">
      <alignment vertical="center" shrinkToFit="1"/>
    </xf>
    <xf numFmtId="41" fontId="31" fillId="3" borderId="16" xfId="2" applyNumberFormat="1" applyFont="1" applyFill="1" applyBorder="1" applyAlignment="1">
      <alignment horizontal="center" vertical="center" shrinkToFit="1"/>
    </xf>
    <xf numFmtId="41" fontId="31" fillId="3" borderId="6" xfId="2" applyNumberFormat="1" applyFont="1" applyFill="1" applyBorder="1" applyAlignment="1">
      <alignment horizontal="center" vertical="center" shrinkToFit="1"/>
    </xf>
    <xf numFmtId="41" fontId="31" fillId="3" borderId="35" xfId="2" applyNumberFormat="1" applyFont="1" applyFill="1" applyBorder="1" applyAlignment="1">
      <alignment horizontal="center" vertical="center" shrinkToFit="1"/>
    </xf>
    <xf numFmtId="0" fontId="31" fillId="0" borderId="43" xfId="1" applyNumberFormat="1" applyFont="1" applyFill="1" applyBorder="1" applyAlignment="1" applyProtection="1">
      <alignment horizontal="left" vertical="center" shrinkToFit="1"/>
    </xf>
    <xf numFmtId="41" fontId="31" fillId="0" borderId="74" xfId="2" applyNumberFormat="1" applyFont="1" applyFill="1" applyBorder="1" applyAlignment="1">
      <alignment horizontal="left" vertical="center" shrinkToFit="1"/>
    </xf>
    <xf numFmtId="41" fontId="31" fillId="0" borderId="0" xfId="2" applyNumberFormat="1" applyFont="1" applyFill="1" applyBorder="1" applyAlignment="1">
      <alignment horizontal="left" vertical="center" shrinkToFit="1"/>
    </xf>
    <xf numFmtId="0" fontId="31" fillId="0" borderId="9" xfId="1" applyNumberFormat="1" applyFont="1" applyFill="1" applyBorder="1" applyAlignment="1" applyProtection="1">
      <alignment horizontal="left" vertical="center" shrinkToFit="1"/>
    </xf>
    <xf numFmtId="41" fontId="31" fillId="2" borderId="60" xfId="2" applyNumberFormat="1" applyFont="1" applyFill="1" applyBorder="1" applyAlignment="1">
      <alignment horizontal="center" vertical="center" shrinkToFit="1"/>
    </xf>
    <xf numFmtId="41" fontId="31" fillId="6" borderId="35" xfId="2" applyNumberFormat="1" applyFont="1" applyFill="1" applyBorder="1" applyAlignment="1" applyProtection="1">
      <alignment horizontal="center" vertical="center" shrinkToFit="1"/>
    </xf>
    <xf numFmtId="41" fontId="31" fillId="2" borderId="35" xfId="2" applyNumberFormat="1" applyFont="1" applyFill="1" applyBorder="1" applyAlignment="1" applyProtection="1">
      <alignment horizontal="center" vertical="center" shrinkToFit="1"/>
    </xf>
    <xf numFmtId="41" fontId="31" fillId="3" borderId="35" xfId="2" applyNumberFormat="1" applyFont="1" applyFill="1" applyBorder="1" applyAlignment="1" applyProtection="1">
      <alignment horizontal="center" vertical="center" shrinkToFit="1"/>
    </xf>
    <xf numFmtId="41" fontId="31" fillId="6" borderId="16" xfId="2" applyNumberFormat="1" applyFont="1" applyFill="1" applyBorder="1" applyAlignment="1">
      <alignment horizontal="center" vertical="center" shrinkToFit="1"/>
    </xf>
    <xf numFmtId="41" fontId="31" fillId="2" borderId="16" xfId="2" applyNumberFormat="1" applyFont="1" applyFill="1" applyBorder="1" applyAlignment="1" applyProtection="1">
      <alignment horizontal="center" vertical="center" shrinkToFit="1"/>
    </xf>
    <xf numFmtId="41" fontId="31" fillId="2" borderId="7" xfId="2" applyNumberFormat="1" applyFont="1" applyFill="1" applyBorder="1" applyAlignment="1" applyProtection="1">
      <alignment horizontal="center" vertical="center" shrinkToFit="1"/>
    </xf>
    <xf numFmtId="41" fontId="31" fillId="6" borderId="16" xfId="2" applyNumberFormat="1" applyFont="1" applyFill="1" applyBorder="1" applyAlignment="1" applyProtection="1">
      <alignment horizontal="center" vertical="center" shrinkToFit="1"/>
    </xf>
    <xf numFmtId="41" fontId="31" fillId="6" borderId="7" xfId="2" applyNumberFormat="1" applyFont="1" applyFill="1" applyBorder="1" applyAlignment="1" applyProtection="1">
      <alignment horizontal="center" vertical="center" shrinkToFit="1"/>
    </xf>
    <xf numFmtId="41" fontId="31" fillId="3" borderId="16" xfId="2" applyNumberFormat="1" applyFont="1" applyFill="1" applyBorder="1" applyAlignment="1" applyProtection="1">
      <alignment horizontal="center" vertical="center" shrinkToFit="1"/>
    </xf>
    <xf numFmtId="41" fontId="31" fillId="3" borderId="7" xfId="2" applyNumberFormat="1" applyFont="1" applyFill="1" applyBorder="1" applyAlignment="1" applyProtection="1">
      <alignment horizontal="center" vertical="center" shrinkToFit="1"/>
    </xf>
    <xf numFmtId="41" fontId="31" fillId="2" borderId="3" xfId="2" applyNumberFormat="1" applyFont="1" applyFill="1" applyBorder="1" applyAlignment="1">
      <alignment horizontal="center" vertical="center" shrinkToFit="1"/>
    </xf>
    <xf numFmtId="41" fontId="31" fillId="2" borderId="8" xfId="2" applyNumberFormat="1" applyFont="1" applyFill="1" applyBorder="1" applyAlignment="1">
      <alignment horizontal="center" vertical="center" shrinkToFit="1"/>
    </xf>
    <xf numFmtId="41" fontId="31" fillId="2" borderId="19" xfId="2" applyNumberFormat="1" applyFont="1" applyFill="1" applyBorder="1" applyAlignment="1">
      <alignment horizontal="center" vertical="center" shrinkToFit="1"/>
    </xf>
    <xf numFmtId="185" fontId="31" fillId="3" borderId="16" xfId="2" applyNumberFormat="1" applyFont="1" applyFill="1" applyBorder="1" applyAlignment="1">
      <alignment horizontal="center" vertical="center" shrinkToFit="1"/>
    </xf>
    <xf numFmtId="185" fontId="31" fillId="3" borderId="6" xfId="2" applyNumberFormat="1" applyFont="1" applyFill="1" applyBorder="1" applyAlignment="1">
      <alignment horizontal="center" vertical="center" shrinkToFit="1"/>
    </xf>
    <xf numFmtId="185" fontId="31" fillId="3" borderId="35" xfId="2" applyNumberFormat="1" applyFont="1" applyFill="1" applyBorder="1" applyAlignment="1">
      <alignment horizontal="center" vertical="center" shrinkToFit="1"/>
    </xf>
    <xf numFmtId="41" fontId="33" fillId="0" borderId="17" xfId="4" applyNumberFormat="1" applyFont="1" applyBorder="1" applyAlignment="1">
      <alignment horizontal="right" vertical="center"/>
    </xf>
    <xf numFmtId="41" fontId="33" fillId="0" borderId="36" xfId="4" applyNumberFormat="1" applyFont="1" applyBorder="1" applyAlignment="1">
      <alignment horizontal="right" vertical="center"/>
    </xf>
    <xf numFmtId="41" fontId="7" fillId="0" borderId="33" xfId="1" applyNumberFormat="1" applyFont="1" applyFill="1" applyBorder="1" applyAlignment="1">
      <alignment horizontal="center" vertical="center"/>
    </xf>
    <xf numFmtId="41" fontId="7" fillId="0" borderId="57" xfId="1" applyNumberFormat="1" applyFont="1" applyFill="1" applyBorder="1" applyAlignment="1">
      <alignment horizontal="center" vertical="center"/>
    </xf>
    <xf numFmtId="3" fontId="7" fillId="0" borderId="17" xfId="1" applyNumberFormat="1" applyFont="1" applyFill="1" applyBorder="1" applyAlignment="1">
      <alignment horizontal="right" vertical="center"/>
    </xf>
    <xf numFmtId="3" fontId="7" fillId="0" borderId="26" xfId="1" applyNumberFormat="1" applyFont="1" applyFill="1" applyBorder="1" applyAlignment="1">
      <alignment horizontal="right" vertical="center"/>
    </xf>
    <xf numFmtId="41" fontId="31" fillId="3" borderId="60" xfId="2" applyNumberFormat="1" applyFont="1" applyFill="1" applyBorder="1" applyAlignment="1">
      <alignment horizontal="center" vertical="center" shrinkToFit="1"/>
    </xf>
    <xf numFmtId="41" fontId="7" fillId="0" borderId="33" xfId="1" applyNumberFormat="1" applyFont="1" applyFill="1" applyBorder="1" applyAlignment="1">
      <alignment horizontal="right" vertical="center"/>
    </xf>
    <xf numFmtId="41" fontId="7" fillId="0" borderId="61" xfId="1" applyNumberFormat="1" applyFont="1" applyFill="1" applyBorder="1" applyAlignment="1">
      <alignment horizontal="right" vertical="center"/>
    </xf>
    <xf numFmtId="0" fontId="31" fillId="0" borderId="62" xfId="1" applyNumberFormat="1" applyFont="1" applyFill="1" applyBorder="1" applyAlignment="1">
      <alignment horizontal="center" vertical="center" shrinkToFit="1"/>
    </xf>
    <xf numFmtId="0" fontId="31" fillId="0" borderId="12" xfId="1" applyNumberFormat="1" applyFont="1" applyFill="1" applyBorder="1" applyAlignment="1">
      <alignment horizontal="center" vertical="center" shrinkToFit="1"/>
    </xf>
    <xf numFmtId="0" fontId="7" fillId="0" borderId="3" xfId="1" applyNumberFormat="1" applyFont="1" applyFill="1" applyBorder="1" applyAlignment="1">
      <alignment horizontal="center" vertical="top" shrinkToFit="1"/>
    </xf>
    <xf numFmtId="0" fontId="7" fillId="0" borderId="9" xfId="1" applyNumberFormat="1" applyFont="1" applyFill="1" applyBorder="1" applyAlignment="1">
      <alignment horizontal="center" vertical="top" shrinkToFit="1"/>
    </xf>
    <xf numFmtId="41" fontId="7" fillId="0" borderId="17" xfId="1" applyNumberFormat="1" applyFont="1" applyFill="1" applyBorder="1" applyAlignment="1">
      <alignment horizontal="right" vertical="center"/>
    </xf>
    <xf numFmtId="41" fontId="7" fillId="0" borderId="26" xfId="1" applyNumberFormat="1" applyFont="1" applyFill="1" applyBorder="1" applyAlignment="1">
      <alignment horizontal="right" vertical="center"/>
    </xf>
    <xf numFmtId="41" fontId="32" fillId="0" borderId="74" xfId="2" applyNumberFormat="1" applyFont="1" applyFill="1" applyBorder="1" applyAlignment="1">
      <alignment horizontal="left" vertical="center" shrinkToFit="1"/>
    </xf>
    <xf numFmtId="41" fontId="32" fillId="0" borderId="0" xfId="2" applyNumberFormat="1" applyFont="1" applyFill="1" applyBorder="1" applyAlignment="1">
      <alignment horizontal="left" vertical="center" shrinkToFit="1"/>
    </xf>
    <xf numFmtId="0" fontId="31" fillId="0" borderId="62" xfId="1" applyNumberFormat="1" applyFont="1" applyFill="1" applyBorder="1" applyAlignment="1" applyProtection="1">
      <alignment horizontal="left" vertical="center" shrinkToFit="1"/>
    </xf>
    <xf numFmtId="0" fontId="31" fillId="0" borderId="11" xfId="1" applyNumberFormat="1" applyFont="1" applyFill="1" applyBorder="1" applyAlignment="1" applyProtection="1">
      <alignment horizontal="left" vertical="center" shrinkToFit="1"/>
    </xf>
    <xf numFmtId="0" fontId="31" fillId="0" borderId="75" xfId="1" applyNumberFormat="1" applyFont="1" applyFill="1" applyBorder="1" applyAlignment="1" applyProtection="1">
      <alignment horizontal="left" vertical="center" shrinkToFit="1"/>
    </xf>
    <xf numFmtId="0" fontId="31" fillId="0" borderId="76" xfId="1" applyNumberFormat="1" applyFont="1" applyFill="1" applyBorder="1" applyAlignment="1" applyProtection="1">
      <alignment horizontal="left" vertical="center" shrinkToFit="1"/>
    </xf>
    <xf numFmtId="3" fontId="7" fillId="0" borderId="36" xfId="1" applyNumberFormat="1" applyFont="1" applyFill="1" applyBorder="1" applyAlignment="1">
      <alignment horizontal="right" vertical="center"/>
    </xf>
    <xf numFmtId="0" fontId="10" fillId="0" borderId="17" xfId="1" applyNumberFormat="1" applyFont="1" applyFill="1" applyBorder="1" applyAlignment="1" applyProtection="1">
      <alignment horizontal="center" vertical="top" shrinkToFit="1"/>
    </xf>
    <xf numFmtId="0" fontId="10" fillId="0" borderId="26" xfId="1" applyNumberFormat="1" applyFont="1" applyFill="1" applyBorder="1" applyAlignment="1" applyProtection="1">
      <alignment horizontal="center" vertical="top" shrinkToFit="1"/>
    </xf>
    <xf numFmtId="0" fontId="10" fillId="0" borderId="36" xfId="1" applyNumberFormat="1" applyFont="1" applyFill="1" applyBorder="1" applyAlignment="1" applyProtection="1">
      <alignment horizontal="center" vertical="top" shrinkToFit="1"/>
    </xf>
    <xf numFmtId="9" fontId="7" fillId="0" borderId="137" xfId="1" applyNumberFormat="1" applyFont="1" applyFill="1" applyBorder="1" applyAlignment="1" applyProtection="1">
      <alignment horizontal="center" vertical="center"/>
    </xf>
    <xf numFmtId="9" fontId="7" fillId="0" borderId="104" xfId="1" applyNumberFormat="1" applyFont="1" applyFill="1" applyBorder="1" applyAlignment="1" applyProtection="1">
      <alignment horizontal="center" vertical="center"/>
    </xf>
    <xf numFmtId="9" fontId="7" fillId="0" borderId="99" xfId="1" applyNumberFormat="1" applyFont="1" applyFill="1" applyBorder="1" applyAlignment="1" applyProtection="1">
      <alignment horizontal="center" vertical="center"/>
    </xf>
    <xf numFmtId="41" fontId="7" fillId="0" borderId="142" xfId="1" applyNumberFormat="1" applyFont="1" applyFill="1" applyBorder="1" applyAlignment="1" applyProtection="1">
      <alignment horizontal="center" vertical="center"/>
    </xf>
    <xf numFmtId="41" fontId="7" fillId="0" borderId="143" xfId="1" applyNumberFormat="1" applyFont="1" applyFill="1" applyBorder="1" applyAlignment="1" applyProtection="1">
      <alignment horizontal="center" vertical="center"/>
    </xf>
    <xf numFmtId="41" fontId="7" fillId="0" borderId="91" xfId="1" applyNumberFormat="1" applyFont="1" applyFill="1" applyBorder="1" applyAlignment="1" applyProtection="1">
      <alignment horizontal="center" vertical="center"/>
    </xf>
    <xf numFmtId="3" fontId="7" fillId="0" borderId="77" xfId="1" applyNumberFormat="1" applyFont="1" applyFill="1" applyBorder="1" applyAlignment="1" applyProtection="1">
      <alignment horizontal="right" vertical="center"/>
    </xf>
    <xf numFmtId="3" fontId="7" fillId="0" borderId="78" xfId="1" applyNumberFormat="1" applyFont="1" applyFill="1" applyBorder="1" applyAlignment="1" applyProtection="1">
      <alignment horizontal="right" vertical="center"/>
    </xf>
    <xf numFmtId="3" fontId="7" fillId="0" borderId="79" xfId="1" applyNumberFormat="1" applyFont="1" applyFill="1" applyBorder="1" applyAlignment="1" applyProtection="1">
      <alignment horizontal="right" vertical="center"/>
    </xf>
    <xf numFmtId="0" fontId="13" fillId="0" borderId="62" xfId="1" applyNumberFormat="1" applyFont="1" applyFill="1" applyBorder="1" applyAlignment="1" applyProtection="1">
      <alignment horizontal="left" vertical="center" shrinkToFit="1"/>
    </xf>
    <xf numFmtId="0" fontId="13" fillId="0" borderId="11" xfId="1" applyNumberFormat="1" applyFont="1" applyFill="1" applyBorder="1" applyAlignment="1" applyProtection="1">
      <alignment horizontal="left" vertical="center" shrinkToFit="1"/>
    </xf>
    <xf numFmtId="41" fontId="7" fillId="0" borderId="57" xfId="1" applyNumberFormat="1" applyFont="1" applyFill="1" applyBorder="1" applyAlignment="1">
      <alignment horizontal="right" vertical="center"/>
    </xf>
    <xf numFmtId="178" fontId="31" fillId="7" borderId="16" xfId="1" applyNumberFormat="1" applyFont="1" applyFill="1" applyBorder="1" applyAlignment="1" applyProtection="1">
      <alignment horizontal="center" vertical="center" shrinkToFit="1"/>
    </xf>
    <xf numFmtId="178" fontId="31" fillId="7" borderId="7" xfId="1" applyNumberFormat="1" applyFont="1" applyFill="1" applyBorder="1" applyAlignment="1" applyProtection="1">
      <alignment horizontal="center" vertical="center" shrinkToFit="1"/>
    </xf>
    <xf numFmtId="41" fontId="31" fillId="5" borderId="16" xfId="2" applyNumberFormat="1" applyFont="1" applyFill="1" applyBorder="1" applyAlignment="1" applyProtection="1">
      <alignment horizontal="center" vertical="center" shrinkToFit="1"/>
    </xf>
    <xf numFmtId="41" fontId="31" fillId="5" borderId="7" xfId="2" applyNumberFormat="1" applyFont="1" applyFill="1" applyBorder="1" applyAlignment="1" applyProtection="1">
      <alignment horizontal="center" vertical="center" shrinkToFit="1"/>
    </xf>
    <xf numFmtId="41" fontId="9" fillId="4" borderId="98" xfId="1" applyNumberFormat="1" applyFont="1" applyFill="1" applyBorder="1" applyAlignment="1">
      <alignment horizontal="center" vertical="center" wrapText="1"/>
    </xf>
    <xf numFmtId="41" fontId="9" fillId="4" borderId="99" xfId="1" applyNumberFormat="1" applyFont="1" applyFill="1" applyBorder="1" applyAlignment="1">
      <alignment horizontal="center" vertical="center" wrapText="1"/>
    </xf>
    <xf numFmtId="0" fontId="7" fillId="0" borderId="8" xfId="1" applyNumberFormat="1" applyFont="1" applyFill="1" applyBorder="1" applyAlignment="1">
      <alignment horizontal="center" vertical="center" shrinkToFit="1"/>
    </xf>
    <xf numFmtId="0" fontId="7" fillId="0" borderId="0" xfId="1" applyNumberFormat="1" applyFont="1" applyFill="1" applyBorder="1" applyAlignment="1">
      <alignment horizontal="center" vertical="center" shrinkToFit="1"/>
    </xf>
    <xf numFmtId="0" fontId="7" fillId="0" borderId="12" xfId="1" applyNumberFormat="1" applyFont="1" applyFill="1" applyBorder="1" applyAlignment="1">
      <alignment horizontal="center" vertical="center" shrinkToFit="1"/>
    </xf>
    <xf numFmtId="0" fontId="31" fillId="0" borderId="12" xfId="1" applyNumberFormat="1" applyFont="1" applyFill="1" applyBorder="1" applyAlignment="1" applyProtection="1">
      <alignment horizontal="left" vertical="center" shrinkToFit="1"/>
    </xf>
    <xf numFmtId="41" fontId="32" fillId="0" borderId="42" xfId="2" applyNumberFormat="1" applyFont="1" applyFill="1" applyBorder="1" applyAlignment="1">
      <alignment horizontal="left" vertical="center" shrinkToFit="1"/>
    </xf>
    <xf numFmtId="41" fontId="32" fillId="0" borderId="8" xfId="2" applyNumberFormat="1" applyFont="1" applyFill="1" applyBorder="1" applyAlignment="1">
      <alignment horizontal="left" vertical="center" shrinkToFit="1"/>
    </xf>
    <xf numFmtId="0" fontId="31" fillId="0" borderId="74" xfId="1" applyNumberFormat="1" applyFont="1" applyFill="1" applyBorder="1" applyAlignment="1">
      <alignment horizontal="left" vertical="center"/>
    </xf>
    <xf numFmtId="0" fontId="31" fillId="0" borderId="0" xfId="1" applyNumberFormat="1" applyFont="1" applyFill="1" applyBorder="1" applyAlignment="1">
      <alignment horizontal="left" vertical="center"/>
    </xf>
    <xf numFmtId="41" fontId="7" fillId="0" borderId="77" xfId="4" applyNumberFormat="1" applyFont="1" applyBorder="1" applyAlignment="1">
      <alignment horizontal="center" vertical="center"/>
    </xf>
    <xf numFmtId="41" fontId="7" fillId="0" borderId="79" xfId="4" applyNumberFormat="1" applyFont="1" applyBorder="1" applyAlignment="1">
      <alignment horizontal="center" vertical="center"/>
    </xf>
    <xf numFmtId="0" fontId="10" fillId="0" borderId="3" xfId="1" applyNumberFormat="1" applyFont="1" applyFill="1" applyBorder="1" applyAlignment="1">
      <alignment horizontal="center" vertical="top" shrinkToFit="1"/>
    </xf>
    <xf numFmtId="0" fontId="10" fillId="0" borderId="9" xfId="1" applyNumberFormat="1" applyFont="1" applyFill="1" applyBorder="1" applyAlignment="1">
      <alignment horizontal="center" vertical="top" shrinkToFit="1"/>
    </xf>
    <xf numFmtId="0" fontId="10" fillId="0" borderId="11" xfId="1" applyNumberFormat="1" applyFont="1" applyFill="1" applyBorder="1" applyAlignment="1">
      <alignment horizontal="center" vertical="top" shrinkToFit="1"/>
    </xf>
    <xf numFmtId="0" fontId="7" fillId="0" borderId="63" xfId="1" applyNumberFormat="1" applyFont="1" applyFill="1" applyBorder="1" applyAlignment="1">
      <alignment horizontal="center" vertical="top" shrinkToFit="1"/>
    </xf>
    <xf numFmtId="0" fontId="7" fillId="0" borderId="50" xfId="1" applyNumberFormat="1" applyFont="1" applyFill="1" applyBorder="1" applyAlignment="1">
      <alignment horizontal="center" vertical="top" shrinkToFit="1"/>
    </xf>
    <xf numFmtId="0" fontId="7" fillId="0" borderId="35" xfId="1" applyNumberFormat="1" applyFont="1" applyFill="1" applyBorder="1" applyAlignment="1" applyProtection="1">
      <alignment horizontal="center" vertical="center" wrapText="1" shrinkToFit="1"/>
    </xf>
    <xf numFmtId="0" fontId="7" fillId="0" borderId="17" xfId="1" applyNumberFormat="1" applyFont="1" applyFill="1" applyBorder="1" applyAlignment="1" applyProtection="1">
      <alignment horizontal="center" vertical="center" shrinkToFit="1"/>
    </xf>
    <xf numFmtId="0" fontId="7" fillId="0" borderId="26" xfId="1" applyNumberFormat="1" applyFont="1" applyFill="1" applyBorder="1" applyAlignment="1" applyProtection="1">
      <alignment horizontal="center" vertical="center" shrinkToFit="1"/>
    </xf>
    <xf numFmtId="0" fontId="7" fillId="0" borderId="34" xfId="1" applyNumberFormat="1" applyFont="1" applyFill="1" applyBorder="1" applyAlignment="1" applyProtection="1">
      <alignment horizontal="center" vertical="center" shrinkToFit="1"/>
    </xf>
    <xf numFmtId="0" fontId="7" fillId="0" borderId="19" xfId="1" applyNumberFormat="1" applyFont="1" applyFill="1" applyBorder="1" applyAlignment="1">
      <alignment horizontal="center" vertical="top" shrinkToFit="1"/>
    </xf>
    <xf numFmtId="0" fontId="17" fillId="0" borderId="0" xfId="1" applyNumberFormat="1" applyFont="1" applyFill="1" applyAlignment="1">
      <alignment horizontal="center" vertical="center"/>
    </xf>
    <xf numFmtId="0" fontId="8" fillId="0" borderId="0" xfId="1" applyNumberFormat="1" applyFont="1" applyFill="1" applyBorder="1" applyAlignment="1">
      <alignment horizontal="left" vertical="center"/>
    </xf>
    <xf numFmtId="0" fontId="32" fillId="0" borderId="10" xfId="2" applyNumberFormat="1" applyFont="1" applyFill="1" applyBorder="1" applyAlignment="1">
      <alignment horizontal="right" vertical="center"/>
    </xf>
    <xf numFmtId="0" fontId="9" fillId="4" borderId="65" xfId="1" applyNumberFormat="1" applyFont="1" applyFill="1" applyBorder="1" applyAlignment="1">
      <alignment horizontal="center" vertical="center"/>
    </xf>
    <xf numFmtId="0" fontId="9" fillId="4" borderId="29" xfId="1" applyNumberFormat="1" applyFont="1" applyFill="1" applyBorder="1" applyAlignment="1">
      <alignment horizontal="center" vertical="center"/>
    </xf>
    <xf numFmtId="0" fontId="31" fillId="7" borderId="20" xfId="1" applyNumberFormat="1" applyFont="1" applyFill="1" applyBorder="1" applyAlignment="1">
      <alignment horizontal="center" vertical="center" shrinkToFit="1"/>
    </xf>
    <xf numFmtId="0" fontId="31" fillId="7" borderId="7" xfId="1" applyNumberFormat="1" applyFont="1" applyFill="1" applyBorder="1" applyAlignment="1">
      <alignment horizontal="center" vertical="center" shrinkToFit="1"/>
    </xf>
    <xf numFmtId="177" fontId="31" fillId="7" borderId="7" xfId="1" applyNumberFormat="1" applyFont="1" applyFill="1" applyBorder="1" applyAlignment="1">
      <alignment horizontal="center" vertical="center" shrinkToFit="1"/>
    </xf>
    <xf numFmtId="0" fontId="32" fillId="4" borderId="65" xfId="1" applyNumberFormat="1" applyFont="1" applyFill="1" applyBorder="1" applyAlignment="1">
      <alignment horizontal="center" vertical="center" wrapText="1"/>
    </xf>
    <xf numFmtId="0" fontId="32" fillId="4" borderId="29" xfId="1" applyNumberFormat="1" applyFont="1" applyFill="1" applyBorder="1" applyAlignment="1">
      <alignment horizontal="center" vertical="center" wrapText="1"/>
    </xf>
    <xf numFmtId="0" fontId="32" fillId="4" borderId="30" xfId="1" applyNumberFormat="1" applyFont="1" applyFill="1" applyBorder="1" applyAlignment="1">
      <alignment horizontal="center" vertical="center" wrapText="1"/>
    </xf>
    <xf numFmtId="0" fontId="32" fillId="4" borderId="27" xfId="1" applyNumberFormat="1" applyFont="1" applyFill="1" applyBorder="1" applyAlignment="1">
      <alignment horizontal="center" vertical="center" wrapText="1"/>
    </xf>
    <xf numFmtId="0" fontId="9" fillId="5" borderId="60" xfId="1" applyNumberFormat="1" applyFont="1" applyFill="1" applyBorder="1" applyAlignment="1">
      <alignment horizontal="center" vertical="center" shrinkToFit="1"/>
    </xf>
    <xf numFmtId="0" fontId="9" fillId="5" borderId="6" xfId="1" applyNumberFormat="1" applyFont="1" applyFill="1" applyBorder="1" applyAlignment="1">
      <alignment horizontal="center" vertical="center" shrinkToFit="1"/>
    </xf>
    <xf numFmtId="41" fontId="31" fillId="5" borderId="20" xfId="1" applyNumberFormat="1" applyFont="1" applyFill="1" applyBorder="1" applyAlignment="1">
      <alignment horizontal="center" vertical="center" shrinkToFit="1"/>
    </xf>
    <xf numFmtId="0" fontId="31" fillId="5" borderId="7" xfId="1" applyNumberFormat="1" applyFont="1" applyFill="1" applyBorder="1" applyAlignment="1">
      <alignment horizontal="center" vertical="center" shrinkToFit="1"/>
    </xf>
    <xf numFmtId="41" fontId="31" fillId="5" borderId="7" xfId="1" applyNumberFormat="1" applyFont="1" applyFill="1" applyBorder="1" applyAlignment="1">
      <alignment horizontal="center" vertical="center" shrinkToFit="1"/>
    </xf>
    <xf numFmtId="41" fontId="31" fillId="5" borderId="7" xfId="2" applyNumberFormat="1" applyFont="1" applyFill="1" applyBorder="1" applyAlignment="1">
      <alignment horizontal="center" vertical="center" shrinkToFit="1"/>
    </xf>
    <xf numFmtId="41" fontId="9" fillId="4" borderId="22" xfId="1" applyNumberFormat="1" applyFont="1" applyFill="1" applyBorder="1" applyAlignment="1">
      <alignment horizontal="center" vertical="center" wrapText="1"/>
    </xf>
    <xf numFmtId="41" fontId="9" fillId="4" borderId="18" xfId="1" applyNumberFormat="1" applyFont="1" applyFill="1" applyBorder="1" applyAlignment="1">
      <alignment horizontal="center" vertical="center" wrapText="1"/>
    </xf>
    <xf numFmtId="178" fontId="31" fillId="7" borderId="35" xfId="1" applyNumberFormat="1" applyFont="1" applyFill="1" applyBorder="1" applyAlignment="1" applyProtection="1">
      <alignment horizontal="center" vertical="center" shrinkToFit="1"/>
    </xf>
    <xf numFmtId="41" fontId="31" fillId="5" borderId="35" xfId="2" applyNumberFormat="1" applyFont="1" applyFill="1" applyBorder="1" applyAlignment="1" applyProtection="1">
      <alignment horizontal="center" vertical="center" shrinkToFit="1"/>
    </xf>
    <xf numFmtId="0" fontId="7" fillId="0" borderId="5" xfId="1" applyNumberFormat="1" applyFont="1" applyFill="1" applyBorder="1" applyAlignment="1" applyProtection="1">
      <alignment horizontal="center" vertical="center" shrinkToFit="1"/>
    </xf>
    <xf numFmtId="0" fontId="7" fillId="0" borderId="4" xfId="1" applyNumberFormat="1" applyFont="1" applyFill="1" applyBorder="1" applyAlignment="1" applyProtection="1">
      <alignment horizontal="center" vertical="center" shrinkToFit="1"/>
    </xf>
    <xf numFmtId="0" fontId="7" fillId="0" borderId="2" xfId="1" applyNumberFormat="1" applyFont="1" applyFill="1" applyBorder="1" applyAlignment="1" applyProtection="1">
      <alignment horizontal="center" vertical="center" shrinkToFit="1"/>
    </xf>
    <xf numFmtId="0" fontId="7" fillId="0" borderId="34" xfId="1" applyNumberFormat="1" applyFont="1" applyFill="1" applyBorder="1" applyAlignment="1" applyProtection="1">
      <alignment horizontal="center" vertical="center" wrapText="1" shrinkToFit="1"/>
    </xf>
    <xf numFmtId="0" fontId="7" fillId="0" borderId="14" xfId="1" applyNumberFormat="1" applyFont="1" applyFill="1" applyBorder="1" applyAlignment="1" applyProtection="1">
      <alignment horizontal="center" vertical="center" wrapText="1" shrinkToFit="1"/>
    </xf>
    <xf numFmtId="3" fontId="7" fillId="0" borderId="64" xfId="1" applyNumberFormat="1" applyFont="1" applyFill="1" applyBorder="1" applyAlignment="1">
      <alignment horizontal="right" vertical="center"/>
    </xf>
    <xf numFmtId="3" fontId="7" fillId="0" borderId="34" xfId="1" applyNumberFormat="1" applyFont="1" applyFill="1" applyBorder="1" applyAlignment="1">
      <alignment horizontal="right" vertical="center"/>
    </xf>
    <xf numFmtId="41" fontId="7" fillId="0" borderId="66" xfId="1" applyNumberFormat="1" applyFont="1" applyFill="1" applyBorder="1" applyAlignment="1">
      <alignment horizontal="right" vertical="center"/>
    </xf>
    <xf numFmtId="0" fontId="31" fillId="0" borderId="69" xfId="1" applyNumberFormat="1" applyFont="1" applyFill="1" applyBorder="1" applyAlignment="1" applyProtection="1">
      <alignment horizontal="left" vertical="center" shrinkToFit="1"/>
    </xf>
    <xf numFmtId="0" fontId="31" fillId="0" borderId="1" xfId="1" applyNumberFormat="1" applyFont="1" applyFill="1" applyBorder="1" applyAlignment="1" applyProtection="1">
      <alignment horizontal="left" vertical="center" shrinkToFit="1"/>
    </xf>
    <xf numFmtId="0" fontId="7" fillId="0" borderId="17" xfId="1" applyNumberFormat="1" applyFont="1" applyFill="1" applyBorder="1" applyAlignment="1" applyProtection="1">
      <alignment horizontal="center" vertical="center" wrapText="1" shrinkToFit="1"/>
    </xf>
    <xf numFmtId="0" fontId="7" fillId="0" borderId="7" xfId="1" applyNumberFormat="1" applyFont="1" applyFill="1" applyBorder="1" applyAlignment="1" applyProtection="1">
      <alignment horizontal="center" vertical="center" wrapText="1" shrinkToFit="1"/>
    </xf>
    <xf numFmtId="3" fontId="7" fillId="0" borderId="119" xfId="1" applyNumberFormat="1" applyFont="1" applyFill="1" applyBorder="1" applyAlignment="1">
      <alignment horizontal="right" vertical="center"/>
    </xf>
    <xf numFmtId="3" fontId="7" fillId="0" borderId="78" xfId="1" applyNumberFormat="1" applyFont="1" applyFill="1" applyBorder="1" applyAlignment="1">
      <alignment horizontal="right" vertical="center"/>
    </xf>
    <xf numFmtId="3" fontId="7" fillId="0" borderId="79" xfId="1" applyNumberFormat="1" applyFont="1" applyFill="1" applyBorder="1" applyAlignment="1">
      <alignment horizontal="right" vertical="center"/>
    </xf>
    <xf numFmtId="0" fontId="7" fillId="0" borderId="17" xfId="1" applyNumberFormat="1" applyFont="1" applyFill="1" applyBorder="1" applyAlignment="1">
      <alignment horizontal="center" vertical="top" wrapText="1" shrinkToFit="1"/>
    </xf>
    <xf numFmtId="0" fontId="7" fillId="0" borderId="36" xfId="1" applyNumberFormat="1" applyFont="1" applyFill="1" applyBorder="1" applyAlignment="1">
      <alignment horizontal="center" vertical="top" wrapText="1" shrinkToFit="1"/>
    </xf>
    <xf numFmtId="9" fontId="7" fillId="0" borderId="138" xfId="1" applyNumberFormat="1" applyFont="1" applyFill="1" applyBorder="1" applyAlignment="1">
      <alignment horizontal="right" vertical="center"/>
    </xf>
    <xf numFmtId="0" fontId="32" fillId="0" borderId="144" xfId="1" applyNumberFormat="1" applyFont="1" applyFill="1" applyBorder="1" applyAlignment="1">
      <alignment horizontal="left" vertical="center" shrinkToFit="1"/>
    </xf>
    <xf numFmtId="0" fontId="32" fillId="0" borderId="145" xfId="1" applyNumberFormat="1" applyFont="1" applyFill="1" applyBorder="1" applyAlignment="1">
      <alignment horizontal="left" vertical="center" shrinkToFit="1"/>
    </xf>
    <xf numFmtId="41" fontId="31" fillId="2" borderId="42" xfId="2" applyNumberFormat="1" applyFont="1" applyFill="1" applyBorder="1" applyAlignment="1">
      <alignment horizontal="center" vertical="center" shrinkToFit="1"/>
    </xf>
    <xf numFmtId="0" fontId="7" fillId="0" borderId="149" xfId="1" applyNumberFormat="1" applyFont="1" applyFill="1" applyBorder="1" applyAlignment="1" applyProtection="1">
      <alignment horizontal="center" vertical="center" wrapText="1" shrinkToFit="1"/>
    </xf>
    <xf numFmtId="0" fontId="7" fillId="0" borderId="126" xfId="1" applyNumberFormat="1" applyFont="1" applyFill="1" applyBorder="1" applyAlignment="1" applyProtection="1">
      <alignment horizontal="center" vertical="center" wrapText="1" shrinkToFit="1"/>
    </xf>
    <xf numFmtId="0" fontId="7" fillId="0" borderId="127" xfId="1" applyNumberFormat="1" applyFont="1" applyFill="1" applyBorder="1" applyAlignment="1" applyProtection="1">
      <alignment horizontal="center" vertical="center" wrapText="1" shrinkToFit="1"/>
    </xf>
    <xf numFmtId="0" fontId="7" fillId="0" borderId="146" xfId="1" applyNumberFormat="1" applyFont="1" applyFill="1" applyBorder="1" applyAlignment="1" applyProtection="1">
      <alignment horizontal="center" vertical="center" wrapText="1" shrinkToFit="1"/>
    </xf>
    <xf numFmtId="0" fontId="7" fillId="0" borderId="105" xfId="1" applyNumberFormat="1" applyFont="1" applyFill="1" applyBorder="1" applyAlignment="1" applyProtection="1">
      <alignment horizontal="center" vertical="center" wrapText="1" shrinkToFit="1"/>
    </xf>
    <xf numFmtId="0" fontId="7" fillId="0" borderId="150" xfId="1" applyNumberFormat="1" applyFont="1" applyFill="1" applyBorder="1" applyAlignment="1" applyProtection="1">
      <alignment horizontal="center" vertical="center" wrapText="1" shrinkToFit="1"/>
    </xf>
    <xf numFmtId="41" fontId="7" fillId="0" borderId="77" xfId="2" applyNumberFormat="1" applyFont="1" applyFill="1" applyBorder="1" applyAlignment="1">
      <alignment horizontal="center" vertical="center"/>
    </xf>
    <xf numFmtId="41" fontId="7" fillId="0" borderId="78" xfId="2" applyNumberFormat="1" applyFont="1" applyFill="1" applyBorder="1" applyAlignment="1">
      <alignment horizontal="center" vertical="center"/>
    </xf>
    <xf numFmtId="41" fontId="7" fillId="0" borderId="95" xfId="2" applyNumberFormat="1" applyFont="1" applyFill="1" applyBorder="1" applyAlignment="1">
      <alignment horizontal="center" vertical="center"/>
    </xf>
    <xf numFmtId="0" fontId="7" fillId="0" borderId="77" xfId="1" applyNumberFormat="1" applyFont="1" applyFill="1" applyBorder="1" applyAlignment="1" applyProtection="1">
      <alignment horizontal="center" vertical="center" shrinkToFit="1"/>
    </xf>
    <xf numFmtId="0" fontId="7" fillId="0" borderId="78" xfId="1" applyNumberFormat="1" applyFont="1" applyFill="1" applyBorder="1" applyAlignment="1" applyProtection="1">
      <alignment horizontal="center" vertical="center" shrinkToFit="1"/>
    </xf>
    <xf numFmtId="0" fontId="7" fillId="0" borderId="95" xfId="1" applyNumberFormat="1" applyFont="1" applyFill="1" applyBorder="1" applyAlignment="1" applyProtection="1">
      <alignment horizontal="center" vertical="center" shrinkToFit="1"/>
    </xf>
    <xf numFmtId="9" fontId="7" fillId="0" borderId="140" xfId="2" applyNumberFormat="1" applyFont="1" applyFill="1" applyBorder="1" applyAlignment="1">
      <alignment horizontal="right" vertical="center"/>
    </xf>
    <xf numFmtId="9" fontId="7" fillId="0" borderId="82" xfId="2" applyNumberFormat="1" applyFont="1" applyFill="1" applyBorder="1" applyAlignment="1">
      <alignment horizontal="right" vertical="center"/>
    </xf>
    <xf numFmtId="9" fontId="7" fillId="0" borderId="147" xfId="2" applyNumberFormat="1" applyFont="1" applyFill="1" applyBorder="1" applyAlignment="1">
      <alignment horizontal="right" vertical="center"/>
    </xf>
    <xf numFmtId="9" fontId="7" fillId="0" borderId="77" xfId="2" applyNumberFormat="1" applyFont="1" applyFill="1" applyBorder="1" applyAlignment="1" applyProtection="1">
      <alignment horizontal="right" vertical="center"/>
    </xf>
    <xf numFmtId="9" fontId="7" fillId="0" borderId="78" xfId="2" applyNumberFormat="1" applyFont="1" applyFill="1" applyBorder="1" applyAlignment="1" applyProtection="1">
      <alignment horizontal="right" vertical="center"/>
    </xf>
    <xf numFmtId="9" fontId="7" fillId="0" borderId="79" xfId="2" applyNumberFormat="1" applyFont="1" applyFill="1" applyBorder="1" applyAlignment="1" applyProtection="1">
      <alignment horizontal="right" vertical="center"/>
    </xf>
    <xf numFmtId="41" fontId="7" fillId="0" borderId="77" xfId="2" applyNumberFormat="1" applyFont="1" applyFill="1" applyBorder="1" applyAlignment="1" applyProtection="1">
      <alignment horizontal="center" vertical="center"/>
    </xf>
    <xf numFmtId="41" fontId="7" fillId="0" borderId="78" xfId="2" applyNumberFormat="1" applyFont="1" applyFill="1" applyBorder="1" applyAlignment="1" applyProtection="1">
      <alignment horizontal="center" vertical="center"/>
    </xf>
    <xf numFmtId="41" fontId="7" fillId="0" borderId="79" xfId="2" applyNumberFormat="1" applyFont="1" applyFill="1" applyBorder="1" applyAlignment="1" applyProtection="1">
      <alignment horizontal="center" vertical="center"/>
    </xf>
    <xf numFmtId="41" fontId="7" fillId="0" borderId="77" xfId="4" applyNumberFormat="1" applyFont="1" applyFill="1" applyBorder="1" applyAlignment="1" applyProtection="1">
      <alignment horizontal="center" vertical="center"/>
    </xf>
    <xf numFmtId="41" fontId="7" fillId="0" borderId="78" xfId="4" applyNumberFormat="1" applyFont="1" applyFill="1" applyBorder="1" applyAlignment="1" applyProtection="1">
      <alignment horizontal="center" vertical="center"/>
    </xf>
    <xf numFmtId="41" fontId="7" fillId="0" borderId="79" xfId="4" applyNumberFormat="1" applyFont="1" applyFill="1" applyBorder="1" applyAlignment="1" applyProtection="1">
      <alignment horizontal="center" vertical="center"/>
    </xf>
    <xf numFmtId="185" fontId="7" fillId="0" borderId="77" xfId="2" applyNumberFormat="1" applyFont="1" applyFill="1" applyBorder="1" applyAlignment="1" applyProtection="1">
      <alignment horizontal="center" vertical="center"/>
    </xf>
    <xf numFmtId="185" fontId="7" fillId="0" borderId="78" xfId="2" applyNumberFormat="1" applyFont="1" applyFill="1" applyBorder="1" applyAlignment="1" applyProtection="1">
      <alignment horizontal="center" vertical="center"/>
    </xf>
    <xf numFmtId="185" fontId="7" fillId="0" borderId="79" xfId="2" applyNumberFormat="1" applyFont="1" applyFill="1" applyBorder="1" applyAlignment="1" applyProtection="1">
      <alignment horizontal="center" vertical="center"/>
    </xf>
    <xf numFmtId="0" fontId="7" fillId="0" borderId="77" xfId="1" applyNumberFormat="1" applyFont="1" applyFill="1" applyBorder="1" applyAlignment="1" applyProtection="1">
      <alignment horizontal="center" vertical="center" wrapText="1" shrinkToFit="1"/>
    </xf>
    <xf numFmtId="0" fontId="7" fillId="0" borderId="78" xfId="1" applyNumberFormat="1" applyFont="1" applyFill="1" applyBorder="1" applyAlignment="1" applyProtection="1">
      <alignment horizontal="center" vertical="center" wrapText="1" shrinkToFit="1"/>
    </xf>
    <xf numFmtId="0" fontId="7" fillId="0" borderId="79" xfId="1" applyNumberFormat="1" applyFont="1" applyFill="1" applyBorder="1" applyAlignment="1" applyProtection="1">
      <alignment horizontal="center" vertical="center" wrapText="1" shrinkToFit="1"/>
    </xf>
    <xf numFmtId="185" fontId="7" fillId="0" borderId="17" xfId="2" applyNumberFormat="1" applyFont="1" applyFill="1" applyBorder="1" applyAlignment="1">
      <alignment horizontal="center" vertical="center"/>
    </xf>
    <xf numFmtId="185" fontId="7" fillId="0" borderId="26" xfId="2" applyNumberFormat="1" applyFont="1" applyFill="1" applyBorder="1" applyAlignment="1">
      <alignment horizontal="center" vertical="center"/>
    </xf>
    <xf numFmtId="185" fontId="7" fillId="0" borderId="17" xfId="2" applyNumberFormat="1" applyFont="1" applyFill="1" applyBorder="1" applyAlignment="1">
      <alignment horizontal="right" vertical="center"/>
    </xf>
    <xf numFmtId="185" fontId="7" fillId="0" borderId="26" xfId="2" applyNumberFormat="1" applyFont="1" applyFill="1" applyBorder="1" applyAlignment="1">
      <alignment horizontal="right" vertical="center"/>
    </xf>
    <xf numFmtId="185" fontId="7" fillId="0" borderId="7" xfId="2" applyNumberFormat="1" applyFont="1" applyFill="1" applyBorder="1" applyAlignment="1" applyProtection="1">
      <alignment horizontal="center" vertical="center"/>
    </xf>
    <xf numFmtId="0" fontId="7" fillId="0" borderId="3" xfId="1" applyNumberFormat="1" applyFont="1" applyFill="1" applyBorder="1" applyAlignment="1">
      <alignment horizontal="center" vertical="center" shrinkToFit="1"/>
    </xf>
    <xf numFmtId="0" fontId="7" fillId="0" borderId="9" xfId="1" applyNumberFormat="1" applyFont="1" applyFill="1" applyBorder="1" applyAlignment="1">
      <alignment horizontal="center" vertical="center" shrinkToFit="1"/>
    </xf>
    <xf numFmtId="0" fontId="7" fillId="0" borderId="4" xfId="1" applyNumberFormat="1" applyFont="1" applyFill="1" applyBorder="1" applyAlignment="1">
      <alignment horizontal="center" vertical="top" shrinkToFit="1"/>
    </xf>
    <xf numFmtId="0" fontId="7" fillId="0" borderId="2" xfId="1" applyNumberFormat="1" applyFont="1" applyFill="1" applyBorder="1" applyAlignment="1">
      <alignment horizontal="center" vertical="top" shrinkToFit="1"/>
    </xf>
    <xf numFmtId="0" fontId="7" fillId="0" borderId="17" xfId="1" applyNumberFormat="1" applyFont="1" applyFill="1" applyBorder="1" applyAlignment="1">
      <alignment horizontal="center" vertical="center" wrapText="1" shrinkToFit="1"/>
    </xf>
    <xf numFmtId="0" fontId="7" fillId="0" borderId="26" xfId="1" applyNumberFormat="1" applyFont="1" applyFill="1" applyBorder="1" applyAlignment="1">
      <alignment horizontal="center" vertical="center" wrapText="1" shrinkToFit="1"/>
    </xf>
    <xf numFmtId="41" fontId="7" fillId="0" borderId="17" xfId="2" applyNumberFormat="1" applyFont="1" applyFill="1" applyBorder="1" applyAlignment="1">
      <alignment horizontal="right" vertical="center"/>
    </xf>
    <xf numFmtId="41" fontId="7" fillId="0" borderId="26" xfId="2" applyNumberFormat="1" applyFont="1" applyFill="1" applyBorder="1" applyAlignment="1">
      <alignment horizontal="right" vertical="center"/>
    </xf>
    <xf numFmtId="41" fontId="7" fillId="0" borderId="9" xfId="2" applyNumberFormat="1" applyFont="1" applyFill="1" applyBorder="1" applyAlignment="1">
      <alignment horizontal="right" vertical="center"/>
    </xf>
    <xf numFmtId="41" fontId="7" fillId="0" borderId="3" xfId="2" applyNumberFormat="1" applyFont="1" applyFill="1" applyBorder="1" applyAlignment="1">
      <alignment horizontal="right" vertical="center"/>
    </xf>
    <xf numFmtId="0" fontId="8" fillId="22" borderId="77" xfId="1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0" fontId="8" fillId="16" borderId="77" xfId="1" applyNumberFormat="1" applyFont="1" applyFill="1" applyBorder="1" applyAlignment="1">
      <alignment horizontal="center" vertical="center"/>
    </xf>
    <xf numFmtId="41" fontId="7" fillId="0" borderId="79" xfId="2" applyNumberFormat="1" applyFont="1" applyFill="1" applyBorder="1" applyAlignment="1">
      <alignment horizontal="center" vertical="center"/>
    </xf>
    <xf numFmtId="0" fontId="7" fillId="0" borderId="77" xfId="1" applyNumberFormat="1" applyFont="1" applyFill="1" applyBorder="1" applyAlignment="1">
      <alignment horizontal="center" vertical="center" shrinkToFit="1"/>
    </xf>
    <xf numFmtId="0" fontId="7" fillId="0" borderId="78" xfId="1" applyNumberFormat="1" applyFont="1" applyFill="1" applyBorder="1" applyAlignment="1">
      <alignment horizontal="center" vertical="center" shrinkToFit="1"/>
    </xf>
    <xf numFmtId="0" fontId="7" fillId="0" borderId="79" xfId="1" applyNumberFormat="1" applyFont="1" applyFill="1" applyBorder="1" applyAlignment="1">
      <alignment horizontal="center" vertical="center" shrinkToFit="1"/>
    </xf>
    <xf numFmtId="41" fontId="35" fillId="2" borderId="30" xfId="2" applyNumberFormat="1" applyFont="1" applyFill="1" applyBorder="1" applyAlignment="1">
      <alignment horizontal="center" vertical="center" shrinkToFit="1"/>
    </xf>
    <xf numFmtId="41" fontId="35" fillId="2" borderId="29" xfId="2" applyNumberFormat="1" applyFont="1" applyFill="1" applyBorder="1" applyAlignment="1">
      <alignment horizontal="center" vertical="center" shrinkToFit="1"/>
    </xf>
    <xf numFmtId="41" fontId="35" fillId="2" borderId="21" xfId="2" applyNumberFormat="1" applyFont="1" applyFill="1" applyBorder="1" applyAlignment="1">
      <alignment horizontal="center" vertical="center" shrinkToFit="1"/>
    </xf>
    <xf numFmtId="41" fontId="35" fillId="3" borderId="16" xfId="2" applyNumberFormat="1" applyFont="1" applyFill="1" applyBorder="1" applyAlignment="1">
      <alignment horizontal="center" vertical="center" shrinkToFit="1"/>
    </xf>
    <xf numFmtId="41" fontId="35" fillId="3" borderId="6" xfId="2" applyNumberFormat="1" applyFont="1" applyFill="1" applyBorder="1" applyAlignment="1">
      <alignment horizontal="center" vertical="center" shrinkToFit="1"/>
    </xf>
    <xf numFmtId="41" fontId="35" fillId="3" borderId="35" xfId="2" applyNumberFormat="1" applyFont="1" applyFill="1" applyBorder="1" applyAlignment="1">
      <alignment horizontal="center" vertical="center" shrinkToFit="1"/>
    </xf>
    <xf numFmtId="41" fontId="35" fillId="3" borderId="17" xfId="2" applyNumberFormat="1" applyFont="1" applyFill="1" applyBorder="1" applyAlignment="1">
      <alignment horizontal="center" vertical="center" shrinkToFit="1"/>
    </xf>
    <xf numFmtId="185" fontId="7" fillId="0" borderId="36" xfId="2" applyNumberFormat="1" applyFont="1" applyFill="1" applyBorder="1" applyAlignment="1">
      <alignment horizontal="center" vertical="center"/>
    </xf>
    <xf numFmtId="41" fontId="7" fillId="0" borderId="17" xfId="2" applyNumberFormat="1" applyFont="1" applyFill="1" applyBorder="1" applyAlignment="1">
      <alignment horizontal="center" vertical="center"/>
    </xf>
    <xf numFmtId="41" fontId="7" fillId="0" borderId="26" xfId="2" applyNumberFormat="1" applyFont="1" applyFill="1" applyBorder="1" applyAlignment="1">
      <alignment horizontal="center" vertical="center"/>
    </xf>
    <xf numFmtId="41" fontId="7" fillId="0" borderId="36" xfId="2" applyNumberFormat="1" applyFont="1" applyFill="1" applyBorder="1" applyAlignment="1">
      <alignment horizontal="center" vertical="center"/>
    </xf>
    <xf numFmtId="0" fontId="7" fillId="0" borderId="17" xfId="1" applyNumberFormat="1" applyFont="1" applyFill="1" applyBorder="1" applyAlignment="1">
      <alignment horizontal="center" vertical="center" shrinkToFit="1"/>
    </xf>
    <xf numFmtId="0" fontId="7" fillId="0" borderId="26" xfId="1" applyNumberFormat="1" applyFont="1" applyFill="1" applyBorder="1" applyAlignment="1">
      <alignment horizontal="center" vertical="center" shrinkToFit="1"/>
    </xf>
    <xf numFmtId="0" fontId="7" fillId="0" borderId="36" xfId="1" applyNumberFormat="1" applyFont="1" applyFill="1" applyBorder="1" applyAlignment="1">
      <alignment horizontal="center" vertical="center" shrinkToFit="1"/>
    </xf>
    <xf numFmtId="3" fontId="20" fillId="0" borderId="0" xfId="1" applyNumberFormat="1" applyFont="1" applyFill="1" applyBorder="1" applyAlignment="1">
      <alignment horizontal="right" vertical="center" shrinkToFit="1"/>
    </xf>
    <xf numFmtId="41" fontId="35" fillId="2" borderId="11" xfId="2" applyNumberFormat="1" applyFont="1" applyFill="1" applyBorder="1" applyAlignment="1">
      <alignment horizontal="center" vertical="center" shrinkToFit="1"/>
    </xf>
    <xf numFmtId="41" fontId="35" fillId="2" borderId="12" xfId="2" applyNumberFormat="1" applyFont="1" applyFill="1" applyBorder="1" applyAlignment="1">
      <alignment horizontal="center" vertical="center" shrinkToFit="1"/>
    </xf>
    <xf numFmtId="41" fontId="35" fillId="2" borderId="50" xfId="2" applyNumberFormat="1" applyFont="1" applyFill="1" applyBorder="1" applyAlignment="1">
      <alignment horizontal="center" vertical="center" shrinkToFit="1"/>
    </xf>
    <xf numFmtId="9" fontId="7" fillId="0" borderId="77" xfId="2" applyNumberFormat="1" applyFont="1" applyFill="1" applyBorder="1" applyAlignment="1" applyProtection="1">
      <alignment horizontal="center" vertical="center"/>
    </xf>
    <xf numFmtId="9" fontId="7" fillId="0" borderId="78" xfId="2" applyNumberFormat="1" applyFont="1" applyFill="1" applyBorder="1" applyAlignment="1" applyProtection="1">
      <alignment horizontal="center" vertical="center"/>
    </xf>
    <xf numFmtId="9" fontId="7" fillId="0" borderId="79" xfId="2" applyNumberFormat="1" applyFont="1" applyFill="1" applyBorder="1" applyAlignment="1" applyProtection="1">
      <alignment horizontal="center" vertical="center"/>
    </xf>
    <xf numFmtId="9" fontId="7" fillId="0" borderId="77" xfId="2" applyNumberFormat="1" applyFont="1" applyFill="1" applyBorder="1" applyAlignment="1">
      <alignment horizontal="right" vertical="center"/>
    </xf>
    <xf numFmtId="9" fontId="7" fillId="0" borderId="95" xfId="2" applyNumberFormat="1" applyFont="1" applyFill="1" applyBorder="1" applyAlignment="1">
      <alignment horizontal="right" vertical="center"/>
    </xf>
    <xf numFmtId="9" fontId="7" fillId="0" borderId="78" xfId="2" applyNumberFormat="1" applyFont="1" applyFill="1" applyBorder="1" applyAlignment="1">
      <alignment horizontal="right" vertical="center"/>
    </xf>
    <xf numFmtId="9" fontId="7" fillId="0" borderId="79" xfId="2" applyNumberFormat="1" applyFont="1" applyFill="1" applyBorder="1" applyAlignment="1">
      <alignment horizontal="right" vertical="center"/>
    </xf>
    <xf numFmtId="9" fontId="8" fillId="0" borderId="80" xfId="4" applyNumberFormat="1" applyFont="1" applyFill="1" applyBorder="1" applyAlignment="1">
      <alignment horizontal="right" vertical="center"/>
    </xf>
    <xf numFmtId="9" fontId="8" fillId="0" borderId="77" xfId="4" applyNumberFormat="1" applyFont="1" applyFill="1" applyBorder="1" applyAlignment="1">
      <alignment horizontal="right" vertical="center"/>
    </xf>
    <xf numFmtId="9" fontId="8" fillId="0" borderId="86" xfId="4" applyNumberFormat="1" applyFont="1" applyFill="1" applyBorder="1" applyAlignment="1">
      <alignment horizontal="right" vertical="center"/>
    </xf>
    <xf numFmtId="9" fontId="8" fillId="0" borderId="140" xfId="4" applyNumberFormat="1" applyFont="1" applyFill="1" applyBorder="1" applyAlignment="1">
      <alignment horizontal="right" vertical="center"/>
    </xf>
    <xf numFmtId="9" fontId="8" fillId="0" borderId="82" xfId="4" applyNumberFormat="1" applyFont="1" applyFill="1" applyBorder="1" applyAlignment="1">
      <alignment horizontal="right" vertical="center"/>
    </xf>
    <xf numFmtId="9" fontId="8" fillId="0" borderId="141" xfId="4" applyNumberFormat="1" applyFont="1" applyFill="1" applyBorder="1" applyAlignment="1">
      <alignment horizontal="right" vertical="center"/>
    </xf>
    <xf numFmtId="9" fontId="8" fillId="0" borderId="79" xfId="4" applyNumberFormat="1" applyFont="1" applyFill="1" applyBorder="1" applyAlignment="1">
      <alignment horizontal="right" vertical="center"/>
    </xf>
    <xf numFmtId="0" fontId="7" fillId="0" borderId="7" xfId="1" applyNumberFormat="1" applyFont="1" applyFill="1" applyBorder="1" applyAlignment="1" applyProtection="1">
      <alignment horizontal="center" vertical="center" shrinkToFit="1"/>
    </xf>
    <xf numFmtId="41" fontId="7" fillId="0" borderId="7" xfId="2" applyNumberFormat="1" applyFont="1" applyFill="1" applyBorder="1" applyAlignment="1" applyProtection="1">
      <alignment horizontal="center" vertical="center"/>
    </xf>
    <xf numFmtId="41" fontId="7" fillId="0" borderId="16" xfId="2" applyNumberFormat="1" applyFont="1" applyFill="1" applyBorder="1" applyAlignment="1" applyProtection="1">
      <alignment horizontal="center" vertical="center"/>
    </xf>
    <xf numFmtId="41" fontId="7" fillId="0" borderId="67" xfId="4" applyNumberFormat="1" applyFont="1" applyFill="1" applyBorder="1" applyAlignment="1">
      <alignment horizontal="right" vertical="center"/>
    </xf>
    <xf numFmtId="41" fontId="7" fillId="0" borderId="36" xfId="4" applyNumberFormat="1" applyFont="1" applyFill="1" applyBorder="1" applyAlignment="1">
      <alignment horizontal="right" vertical="center"/>
    </xf>
    <xf numFmtId="41" fontId="7" fillId="0" borderId="26" xfId="4" applyNumberFormat="1" applyFont="1" applyFill="1" applyBorder="1" applyAlignment="1">
      <alignment horizontal="right" vertical="center"/>
    </xf>
    <xf numFmtId="185" fontId="35" fillId="3" borderId="16" xfId="2" applyNumberFormat="1" applyFont="1" applyFill="1" applyBorder="1" applyAlignment="1">
      <alignment horizontal="center" vertical="center" shrinkToFit="1"/>
    </xf>
    <xf numFmtId="185" fontId="35" fillId="3" borderId="6" xfId="2" applyNumberFormat="1" applyFont="1" applyFill="1" applyBorder="1" applyAlignment="1">
      <alignment horizontal="center" vertical="center" shrinkToFit="1"/>
    </xf>
    <xf numFmtId="185" fontId="35" fillId="3" borderId="35" xfId="2" applyNumberFormat="1" applyFont="1" applyFill="1" applyBorder="1" applyAlignment="1">
      <alignment horizontal="center" vertical="center" shrinkToFit="1"/>
    </xf>
    <xf numFmtId="41" fontId="35" fillId="2" borderId="13" xfId="2" applyNumberFormat="1" applyFont="1" applyFill="1" applyBorder="1" applyAlignment="1">
      <alignment horizontal="center" vertical="center" shrinkToFit="1"/>
    </xf>
    <xf numFmtId="41" fontId="35" fillId="3" borderId="7" xfId="2" applyNumberFormat="1" applyFont="1" applyFill="1" applyBorder="1" applyAlignment="1">
      <alignment horizontal="center" vertical="center" shrinkToFit="1"/>
    </xf>
    <xf numFmtId="41" fontId="35" fillId="3" borderId="19" xfId="2" applyNumberFormat="1" applyFont="1" applyFill="1" applyBorder="1" applyAlignment="1">
      <alignment horizontal="center" vertical="center" shrinkToFit="1"/>
    </xf>
    <xf numFmtId="41" fontId="7" fillId="0" borderId="9" xfId="2" applyNumberFormat="1" applyFont="1" applyFill="1" applyBorder="1" applyAlignment="1">
      <alignment horizontal="center" vertical="center"/>
    </xf>
    <xf numFmtId="41" fontId="7" fillId="0" borderId="3" xfId="2" applyNumberFormat="1" applyFont="1" applyFill="1" applyBorder="1" applyAlignment="1">
      <alignment horizontal="center" vertical="center"/>
    </xf>
    <xf numFmtId="0" fontId="7" fillId="0" borderId="68" xfId="0" applyNumberFormat="1" applyFont="1" applyFill="1" applyBorder="1" applyAlignment="1">
      <alignment horizontal="center" vertical="center" shrinkToFit="1"/>
    </xf>
    <xf numFmtId="0" fontId="7" fillId="0" borderId="63" xfId="0" applyNumberFormat="1" applyFont="1" applyFill="1" applyBorder="1" applyAlignment="1">
      <alignment horizontal="center" vertical="center" shrinkToFit="1"/>
    </xf>
    <xf numFmtId="0" fontId="7" fillId="0" borderId="49" xfId="0" applyNumberFormat="1" applyFont="1" applyFill="1" applyBorder="1" applyAlignment="1">
      <alignment horizontal="center" vertical="center" shrinkToFit="1"/>
    </xf>
    <xf numFmtId="41" fontId="7" fillId="0" borderId="77" xfId="4" applyNumberFormat="1" applyFont="1" applyFill="1" applyBorder="1" applyAlignment="1">
      <alignment horizontal="center" vertical="center"/>
    </xf>
    <xf numFmtId="41" fontId="7" fillId="0" borderId="78" xfId="4" applyNumberFormat="1" applyFont="1" applyFill="1" applyBorder="1" applyAlignment="1">
      <alignment horizontal="center" vertical="center"/>
    </xf>
    <xf numFmtId="41" fontId="7" fillId="0" borderId="95" xfId="4" applyNumberFormat="1" applyFont="1" applyFill="1" applyBorder="1" applyAlignment="1">
      <alignment horizontal="center" vertical="center"/>
    </xf>
    <xf numFmtId="41" fontId="7" fillId="0" borderId="34" xfId="4" applyNumberFormat="1" applyFont="1" applyFill="1" applyBorder="1" applyAlignment="1">
      <alignment horizontal="right" vertical="center"/>
    </xf>
    <xf numFmtId="0" fontId="7" fillId="0" borderId="55" xfId="1" applyNumberFormat="1" applyFont="1" applyFill="1" applyBorder="1" applyAlignment="1">
      <alignment horizontal="center" vertical="center" shrinkToFit="1"/>
    </xf>
    <xf numFmtId="0" fontId="7" fillId="0" borderId="11" xfId="1" applyNumberFormat="1" applyFont="1" applyFill="1" applyBorder="1" applyAlignment="1">
      <alignment horizontal="center" vertical="center" shrinkToFit="1"/>
    </xf>
    <xf numFmtId="0" fontId="7" fillId="0" borderId="43" xfId="0" applyNumberFormat="1" applyFont="1" applyFill="1" applyBorder="1" applyAlignment="1">
      <alignment horizontal="center" vertical="top" shrinkToFit="1"/>
    </xf>
    <xf numFmtId="0" fontId="7" fillId="0" borderId="69" xfId="0" applyNumberFormat="1" applyFont="1" applyFill="1" applyBorder="1" applyAlignment="1">
      <alignment horizontal="center" vertical="top" shrinkToFit="1"/>
    </xf>
    <xf numFmtId="0" fontId="7" fillId="0" borderId="26" xfId="0" applyNumberFormat="1" applyFont="1" applyFill="1" applyBorder="1" applyAlignment="1">
      <alignment horizontal="center" vertical="top" shrinkToFit="1"/>
    </xf>
    <xf numFmtId="0" fontId="7" fillId="0" borderId="34" xfId="0" applyNumberFormat="1" applyFont="1" applyFill="1" applyBorder="1" applyAlignment="1">
      <alignment horizontal="center" vertical="top" shrinkToFit="1"/>
    </xf>
    <xf numFmtId="0" fontId="7" fillId="0" borderId="50" xfId="0" applyNumberFormat="1" applyFont="1" applyFill="1" applyBorder="1" applyAlignment="1">
      <alignment horizontal="center" vertical="center" shrinkToFit="1"/>
    </xf>
    <xf numFmtId="41" fontId="7" fillId="0" borderId="17" xfId="4" applyNumberFormat="1" applyFont="1" applyFill="1" applyBorder="1" applyAlignment="1">
      <alignment horizontal="center" vertical="center"/>
    </xf>
    <xf numFmtId="41" fontId="7" fillId="0" borderId="36" xfId="4" applyNumberFormat="1" applyFont="1" applyFill="1" applyBorder="1" applyAlignment="1">
      <alignment horizontal="center" vertical="center"/>
    </xf>
    <xf numFmtId="41" fontId="7" fillId="0" borderId="26" xfId="4" applyNumberFormat="1" applyFont="1" applyFill="1" applyBorder="1" applyAlignment="1">
      <alignment horizontal="center" vertical="center"/>
    </xf>
    <xf numFmtId="0" fontId="7" fillId="0" borderId="70" xfId="0" applyNumberFormat="1" applyFont="1" applyFill="1" applyBorder="1" applyAlignment="1">
      <alignment horizontal="center" vertical="top" shrinkToFit="1"/>
    </xf>
    <xf numFmtId="0" fontId="7" fillId="0" borderId="17" xfId="0" applyNumberFormat="1" applyFont="1" applyFill="1" applyBorder="1" applyAlignment="1">
      <alignment horizontal="center" vertical="top" shrinkToFit="1"/>
    </xf>
    <xf numFmtId="0" fontId="12" fillId="0" borderId="0" xfId="1" applyNumberFormat="1" applyFont="1" applyFill="1" applyBorder="1" applyAlignment="1">
      <alignment horizontal="left" vertical="center"/>
    </xf>
    <xf numFmtId="0" fontId="38" fillId="0" borderId="0" xfId="2" applyNumberFormat="1" applyFont="1" applyFill="1" applyBorder="1" applyAlignment="1">
      <alignment horizontal="right" vertical="center"/>
    </xf>
    <xf numFmtId="0" fontId="36" fillId="4" borderId="30" xfId="1" applyNumberFormat="1" applyFont="1" applyFill="1" applyBorder="1" applyAlignment="1">
      <alignment horizontal="center" vertical="center" wrapText="1"/>
    </xf>
    <xf numFmtId="0" fontId="36" fillId="4" borderId="29" xfId="1" applyNumberFormat="1" applyFont="1" applyFill="1" applyBorder="1" applyAlignment="1">
      <alignment horizontal="center" vertical="center" wrapText="1"/>
    </xf>
    <xf numFmtId="0" fontId="36" fillId="4" borderId="27" xfId="1" applyNumberFormat="1" applyFont="1" applyFill="1" applyBorder="1" applyAlignment="1">
      <alignment horizontal="center" vertical="center" wrapText="1"/>
    </xf>
    <xf numFmtId="185" fontId="35" fillId="3" borderId="7" xfId="2" applyNumberFormat="1" applyFont="1" applyFill="1" applyBorder="1" applyAlignment="1">
      <alignment horizontal="center" vertical="center" shrinkToFit="1"/>
    </xf>
    <xf numFmtId="0" fontId="18" fillId="5" borderId="71" xfId="1" applyNumberFormat="1" applyFont="1" applyFill="1" applyBorder="1" applyAlignment="1">
      <alignment horizontal="center" vertical="center" shrinkToFit="1"/>
    </xf>
    <xf numFmtId="0" fontId="18" fillId="5" borderId="38" xfId="1" quotePrefix="1" applyNumberFormat="1" applyFont="1" applyFill="1" applyBorder="1" applyAlignment="1">
      <alignment horizontal="center" vertical="center" shrinkToFit="1"/>
    </xf>
    <xf numFmtId="0" fontId="18" fillId="5" borderId="72" xfId="1" quotePrefix="1" applyNumberFormat="1" applyFont="1" applyFill="1" applyBorder="1" applyAlignment="1">
      <alignment horizontal="center" vertical="center" shrinkToFit="1"/>
    </xf>
    <xf numFmtId="41" fontId="35" fillId="5" borderId="16" xfId="2" applyNumberFormat="1" applyFont="1" applyFill="1" applyBorder="1" applyAlignment="1">
      <alignment horizontal="center" vertical="center" shrinkToFit="1"/>
    </xf>
    <xf numFmtId="41" fontId="35" fillId="5" borderId="6" xfId="2" applyNumberFormat="1" applyFont="1" applyFill="1" applyBorder="1" applyAlignment="1">
      <alignment horizontal="center" vertical="center" shrinkToFit="1"/>
    </xf>
    <xf numFmtId="41" fontId="35" fillId="5" borderId="35" xfId="2" applyNumberFormat="1" applyFont="1" applyFill="1" applyBorder="1" applyAlignment="1">
      <alignment horizontal="center" vertical="center" shrinkToFit="1"/>
    </xf>
    <xf numFmtId="41" fontId="35" fillId="5" borderId="7" xfId="2" applyNumberFormat="1" applyFont="1" applyFill="1" applyBorder="1" applyAlignment="1">
      <alignment horizontal="center" vertical="center" shrinkToFit="1"/>
    </xf>
    <xf numFmtId="41" fontId="35" fillId="2" borderId="7" xfId="2" applyNumberFormat="1" applyFont="1" applyFill="1" applyBorder="1" applyAlignment="1">
      <alignment horizontal="center" vertical="center" shrinkToFit="1"/>
    </xf>
    <xf numFmtId="0" fontId="8" fillId="4" borderId="65" xfId="1" applyNumberFormat="1" applyFont="1" applyFill="1" applyBorder="1" applyAlignment="1">
      <alignment horizontal="center" vertical="center"/>
    </xf>
    <xf numFmtId="0" fontId="8" fillId="4" borderId="29" xfId="1" applyNumberFormat="1" applyFont="1" applyFill="1" applyBorder="1" applyAlignment="1">
      <alignment horizontal="center" vertical="center"/>
    </xf>
    <xf numFmtId="0" fontId="8" fillId="4" borderId="21" xfId="1" applyNumberFormat="1" applyFont="1" applyFill="1" applyBorder="1" applyAlignment="1">
      <alignment horizontal="center" vertical="center"/>
    </xf>
    <xf numFmtId="41" fontId="35" fillId="4" borderId="16" xfId="2" applyNumberFormat="1" applyFont="1" applyFill="1" applyBorder="1" applyAlignment="1">
      <alignment horizontal="center" vertical="center" shrinkToFit="1"/>
    </xf>
    <xf numFmtId="41" fontId="35" fillId="4" borderId="6" xfId="2" applyNumberFormat="1" applyFont="1" applyFill="1" applyBorder="1" applyAlignment="1">
      <alignment horizontal="center" vertical="center" shrinkToFit="1"/>
    </xf>
    <xf numFmtId="41" fontId="35" fillId="4" borderId="35" xfId="2" applyNumberFormat="1" applyFont="1" applyFill="1" applyBorder="1" applyAlignment="1">
      <alignment horizontal="center" vertical="center" shrinkToFit="1"/>
    </xf>
    <xf numFmtId="41" fontId="35" fillId="4" borderId="7" xfId="2" applyNumberFormat="1" applyFont="1" applyFill="1" applyBorder="1" applyAlignment="1">
      <alignment horizontal="center" vertical="center" shrinkToFit="1"/>
    </xf>
    <xf numFmtId="41" fontId="9" fillId="4" borderId="30" xfId="1" applyNumberFormat="1" applyFont="1" applyFill="1" applyBorder="1" applyAlignment="1">
      <alignment horizontal="center" vertical="center" wrapText="1"/>
    </xf>
    <xf numFmtId="41" fontId="9" fillId="4" borderId="16" xfId="1" applyNumberFormat="1" applyFont="1" applyFill="1" applyBorder="1" applyAlignment="1">
      <alignment horizontal="center" vertical="center" wrapText="1"/>
    </xf>
    <xf numFmtId="41" fontId="9" fillId="4" borderId="88" xfId="1" applyNumberFormat="1" applyFont="1" applyFill="1" applyBorder="1" applyAlignment="1">
      <alignment horizontal="center" vertical="center" wrapText="1"/>
    </xf>
    <xf numFmtId="0" fontId="7" fillId="0" borderId="79" xfId="1" applyNumberFormat="1" applyFont="1" applyFill="1" applyBorder="1" applyAlignment="1" applyProtection="1">
      <alignment horizontal="center" vertical="center" shrinkToFit="1"/>
    </xf>
    <xf numFmtId="182" fontId="7" fillId="0" borderId="77" xfId="2" applyNumberFormat="1" applyFont="1" applyFill="1" applyBorder="1" applyAlignment="1" applyProtection="1">
      <alignment horizontal="center" vertical="center"/>
    </xf>
    <xf numFmtId="182" fontId="7" fillId="0" borderId="78" xfId="2" applyNumberFormat="1" applyFont="1" applyFill="1" applyBorder="1" applyAlignment="1" applyProtection="1">
      <alignment horizontal="center" vertical="center"/>
    </xf>
    <xf numFmtId="182" fontId="7" fillId="0" borderId="79" xfId="2" applyNumberFormat="1" applyFont="1" applyFill="1" applyBorder="1" applyAlignment="1" applyProtection="1">
      <alignment horizontal="center" vertical="center"/>
    </xf>
  </cellXfs>
  <cellStyles count="5">
    <cellStyle name="백분율 2" xfId="3"/>
    <cellStyle name="쉼표 [0]" xfId="4" builtinId="6"/>
    <cellStyle name="쉼표 [0] 2" xfId="2"/>
    <cellStyle name="표준" xfId="0" builtinId="0"/>
    <cellStyle name="표준 2" xfId="1"/>
  </cellStyles>
  <dxfs count="1">
    <dxf>
      <font>
        <color rgb="FFFFFFFF"/>
      </font>
    </dxf>
  </dxfs>
  <tableStyles count="0" defaultTableStyle="TableStyleMedium2" defaultPivotStyle="PivotStyleLight16"/>
  <colors>
    <mruColors>
      <color rgb="FFFFEBFE"/>
      <color rgb="FFFFCCFF"/>
      <color rgb="FF0000FF"/>
      <color rgb="FFF3EBDD"/>
      <color rgb="FFB9DCFF"/>
      <color rgb="FFAFD7FF"/>
      <color rgb="FFE4C9FF"/>
      <color rgb="FFEEDDFF"/>
      <color rgb="FFCC99FF"/>
      <color rgb="FFD5A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a-19\&#44552;&#51221;&#44396;&#51109;&#50528;&#51064;&#51333;&#54633;&#48373;&#51648;&#44288;\Program%20Files\NATEON\BIN\454486AF77253E3B077AB962A4A57DEE\download\2008&#45380;&#44032;&#50696;&#49328;(2007.12.1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후원금"/>
      <sheetName val="절복총칙"/>
      <sheetName val="절복총괄"/>
      <sheetName val="절복入"/>
      <sheetName val="절복出"/>
      <sheetName val="재가총칙"/>
      <sheetName val="재가총괄"/>
      <sheetName val="재가入"/>
      <sheetName val="재가出"/>
      <sheetName val="장주총칙"/>
      <sheetName val="장주총괄"/>
      <sheetName val="장주入"/>
      <sheetName val="장주出"/>
      <sheetName val="지아총칙"/>
      <sheetName val="지아총괄"/>
      <sheetName val="지아入"/>
      <sheetName val="지아出"/>
      <sheetName val="기우총칙"/>
      <sheetName val="기우총괄"/>
      <sheetName val="기우入"/>
      <sheetName val="기우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8CBAC"/>
  </sheetPr>
  <dimension ref="B2:Q49"/>
  <sheetViews>
    <sheetView showGridLines="0" tabSelected="1" view="pageBreakPreview" zoomScaleNormal="100" zoomScaleSheetLayoutView="100" workbookViewId="0">
      <selection activeCell="J21" sqref="J21"/>
    </sheetView>
  </sheetViews>
  <sheetFormatPr defaultColWidth="8.875" defaultRowHeight="12"/>
  <cols>
    <col min="1" max="1" width="1" style="14" customWidth="1"/>
    <col min="2" max="11" width="17.875" style="14" customWidth="1"/>
    <col min="12" max="258" width="9" style="14"/>
    <col min="259" max="259" width="1" style="14" customWidth="1"/>
    <col min="260" max="267" width="17.875" style="14" customWidth="1"/>
    <col min="268" max="514" width="9" style="14"/>
    <col min="515" max="515" width="1" style="14" customWidth="1"/>
    <col min="516" max="523" width="17.875" style="14" customWidth="1"/>
    <col min="524" max="770" width="9" style="14"/>
    <col min="771" max="771" width="1" style="14" customWidth="1"/>
    <col min="772" max="779" width="17.875" style="14" customWidth="1"/>
    <col min="780" max="1026" width="9" style="14"/>
    <col min="1027" max="1027" width="1" style="14" customWidth="1"/>
    <col min="1028" max="1035" width="17.875" style="14" customWidth="1"/>
    <col min="1036" max="1282" width="9" style="14"/>
    <col min="1283" max="1283" width="1" style="14" customWidth="1"/>
    <col min="1284" max="1291" width="17.875" style="14" customWidth="1"/>
    <col min="1292" max="1538" width="9" style="14"/>
    <col min="1539" max="1539" width="1" style="14" customWidth="1"/>
    <col min="1540" max="1547" width="17.875" style="14" customWidth="1"/>
    <col min="1548" max="1794" width="9" style="14"/>
    <col min="1795" max="1795" width="1" style="14" customWidth="1"/>
    <col min="1796" max="1803" width="17.875" style="14" customWidth="1"/>
    <col min="1804" max="2050" width="9" style="14"/>
    <col min="2051" max="2051" width="1" style="14" customWidth="1"/>
    <col min="2052" max="2059" width="17.875" style="14" customWidth="1"/>
    <col min="2060" max="2306" width="9" style="14"/>
    <col min="2307" max="2307" width="1" style="14" customWidth="1"/>
    <col min="2308" max="2315" width="17.875" style="14" customWidth="1"/>
    <col min="2316" max="2562" width="9" style="14"/>
    <col min="2563" max="2563" width="1" style="14" customWidth="1"/>
    <col min="2564" max="2571" width="17.875" style="14" customWidth="1"/>
    <col min="2572" max="2818" width="9" style="14"/>
    <col min="2819" max="2819" width="1" style="14" customWidth="1"/>
    <col min="2820" max="2827" width="17.875" style="14" customWidth="1"/>
    <col min="2828" max="3074" width="9" style="14"/>
    <col min="3075" max="3075" width="1" style="14" customWidth="1"/>
    <col min="3076" max="3083" width="17.875" style="14" customWidth="1"/>
    <col min="3084" max="3330" width="9" style="14"/>
    <col min="3331" max="3331" width="1" style="14" customWidth="1"/>
    <col min="3332" max="3339" width="17.875" style="14" customWidth="1"/>
    <col min="3340" max="3586" width="9" style="14"/>
    <col min="3587" max="3587" width="1" style="14" customWidth="1"/>
    <col min="3588" max="3595" width="17.875" style="14" customWidth="1"/>
    <col min="3596" max="3842" width="9" style="14"/>
    <col min="3843" max="3843" width="1" style="14" customWidth="1"/>
    <col min="3844" max="3851" width="17.875" style="14" customWidth="1"/>
    <col min="3852" max="4098" width="9" style="14"/>
    <col min="4099" max="4099" width="1" style="14" customWidth="1"/>
    <col min="4100" max="4107" width="17.875" style="14" customWidth="1"/>
    <col min="4108" max="4354" width="9" style="14"/>
    <col min="4355" max="4355" width="1" style="14" customWidth="1"/>
    <col min="4356" max="4363" width="17.875" style="14" customWidth="1"/>
    <col min="4364" max="4610" width="9" style="14"/>
    <col min="4611" max="4611" width="1" style="14" customWidth="1"/>
    <col min="4612" max="4619" width="17.875" style="14" customWidth="1"/>
    <col min="4620" max="4866" width="9" style="14"/>
    <col min="4867" max="4867" width="1" style="14" customWidth="1"/>
    <col min="4868" max="4875" width="17.875" style="14" customWidth="1"/>
    <col min="4876" max="5122" width="9" style="14"/>
    <col min="5123" max="5123" width="1" style="14" customWidth="1"/>
    <col min="5124" max="5131" width="17.875" style="14" customWidth="1"/>
    <col min="5132" max="5378" width="9" style="14"/>
    <col min="5379" max="5379" width="1" style="14" customWidth="1"/>
    <col min="5380" max="5387" width="17.875" style="14" customWidth="1"/>
    <col min="5388" max="5634" width="9" style="14"/>
    <col min="5635" max="5635" width="1" style="14" customWidth="1"/>
    <col min="5636" max="5643" width="17.875" style="14" customWidth="1"/>
    <col min="5644" max="5890" width="9" style="14"/>
    <col min="5891" max="5891" width="1" style="14" customWidth="1"/>
    <col min="5892" max="5899" width="17.875" style="14" customWidth="1"/>
    <col min="5900" max="6146" width="9" style="14"/>
    <col min="6147" max="6147" width="1" style="14" customWidth="1"/>
    <col min="6148" max="6155" width="17.875" style="14" customWidth="1"/>
    <col min="6156" max="6402" width="9" style="14"/>
    <col min="6403" max="6403" width="1" style="14" customWidth="1"/>
    <col min="6404" max="6411" width="17.875" style="14" customWidth="1"/>
    <col min="6412" max="6658" width="9" style="14"/>
    <col min="6659" max="6659" width="1" style="14" customWidth="1"/>
    <col min="6660" max="6667" width="17.875" style="14" customWidth="1"/>
    <col min="6668" max="6914" width="9" style="14"/>
    <col min="6915" max="6915" width="1" style="14" customWidth="1"/>
    <col min="6916" max="6923" width="17.875" style="14" customWidth="1"/>
    <col min="6924" max="7170" width="9" style="14"/>
    <col min="7171" max="7171" width="1" style="14" customWidth="1"/>
    <col min="7172" max="7179" width="17.875" style="14" customWidth="1"/>
    <col min="7180" max="7426" width="9" style="14"/>
    <col min="7427" max="7427" width="1" style="14" customWidth="1"/>
    <col min="7428" max="7435" width="17.875" style="14" customWidth="1"/>
    <col min="7436" max="7682" width="9" style="14"/>
    <col min="7683" max="7683" width="1" style="14" customWidth="1"/>
    <col min="7684" max="7691" width="17.875" style="14" customWidth="1"/>
    <col min="7692" max="7938" width="9" style="14"/>
    <col min="7939" max="7939" width="1" style="14" customWidth="1"/>
    <col min="7940" max="7947" width="17.875" style="14" customWidth="1"/>
    <col min="7948" max="8194" width="9" style="14"/>
    <col min="8195" max="8195" width="1" style="14" customWidth="1"/>
    <col min="8196" max="8203" width="17.875" style="14" customWidth="1"/>
    <col min="8204" max="8450" width="9" style="14"/>
    <col min="8451" max="8451" width="1" style="14" customWidth="1"/>
    <col min="8452" max="8459" width="17.875" style="14" customWidth="1"/>
    <col min="8460" max="8706" width="9" style="14"/>
    <col min="8707" max="8707" width="1" style="14" customWidth="1"/>
    <col min="8708" max="8715" width="17.875" style="14" customWidth="1"/>
    <col min="8716" max="8962" width="9" style="14"/>
    <col min="8963" max="8963" width="1" style="14" customWidth="1"/>
    <col min="8964" max="8971" width="17.875" style="14" customWidth="1"/>
    <col min="8972" max="9218" width="9" style="14"/>
    <col min="9219" max="9219" width="1" style="14" customWidth="1"/>
    <col min="9220" max="9227" width="17.875" style="14" customWidth="1"/>
    <col min="9228" max="9474" width="9" style="14"/>
    <col min="9475" max="9475" width="1" style="14" customWidth="1"/>
    <col min="9476" max="9483" width="17.875" style="14" customWidth="1"/>
    <col min="9484" max="9730" width="9" style="14"/>
    <col min="9731" max="9731" width="1" style="14" customWidth="1"/>
    <col min="9732" max="9739" width="17.875" style="14" customWidth="1"/>
    <col min="9740" max="9986" width="9" style="14"/>
    <col min="9987" max="9987" width="1" style="14" customWidth="1"/>
    <col min="9988" max="9995" width="17.875" style="14" customWidth="1"/>
    <col min="9996" max="10242" width="9" style="14"/>
    <col min="10243" max="10243" width="1" style="14" customWidth="1"/>
    <col min="10244" max="10251" width="17.875" style="14" customWidth="1"/>
    <col min="10252" max="10498" width="9" style="14"/>
    <col min="10499" max="10499" width="1" style="14" customWidth="1"/>
    <col min="10500" max="10507" width="17.875" style="14" customWidth="1"/>
    <col min="10508" max="10754" width="9" style="14"/>
    <col min="10755" max="10755" width="1" style="14" customWidth="1"/>
    <col min="10756" max="10763" width="17.875" style="14" customWidth="1"/>
    <col min="10764" max="11010" width="9" style="14"/>
    <col min="11011" max="11011" width="1" style="14" customWidth="1"/>
    <col min="11012" max="11019" width="17.875" style="14" customWidth="1"/>
    <col min="11020" max="11266" width="9" style="14"/>
    <col min="11267" max="11267" width="1" style="14" customWidth="1"/>
    <col min="11268" max="11275" width="17.875" style="14" customWidth="1"/>
    <col min="11276" max="11522" width="9" style="14"/>
    <col min="11523" max="11523" width="1" style="14" customWidth="1"/>
    <col min="11524" max="11531" width="17.875" style="14" customWidth="1"/>
    <col min="11532" max="11778" width="9" style="14"/>
    <col min="11779" max="11779" width="1" style="14" customWidth="1"/>
    <col min="11780" max="11787" width="17.875" style="14" customWidth="1"/>
    <col min="11788" max="12034" width="9" style="14"/>
    <col min="12035" max="12035" width="1" style="14" customWidth="1"/>
    <col min="12036" max="12043" width="17.875" style="14" customWidth="1"/>
    <col min="12044" max="12290" width="9" style="14"/>
    <col min="12291" max="12291" width="1" style="14" customWidth="1"/>
    <col min="12292" max="12299" width="17.875" style="14" customWidth="1"/>
    <col min="12300" max="12546" width="9" style="14"/>
    <col min="12547" max="12547" width="1" style="14" customWidth="1"/>
    <col min="12548" max="12555" width="17.875" style="14" customWidth="1"/>
    <col min="12556" max="12802" width="9" style="14"/>
    <col min="12803" max="12803" width="1" style="14" customWidth="1"/>
    <col min="12804" max="12811" width="17.875" style="14" customWidth="1"/>
    <col min="12812" max="13058" width="9" style="14"/>
    <col min="13059" max="13059" width="1" style="14" customWidth="1"/>
    <col min="13060" max="13067" width="17.875" style="14" customWidth="1"/>
    <col min="13068" max="13314" width="9" style="14"/>
    <col min="13315" max="13315" width="1" style="14" customWidth="1"/>
    <col min="13316" max="13323" width="17.875" style="14" customWidth="1"/>
    <col min="13324" max="13570" width="9" style="14"/>
    <col min="13571" max="13571" width="1" style="14" customWidth="1"/>
    <col min="13572" max="13579" width="17.875" style="14" customWidth="1"/>
    <col min="13580" max="13826" width="9" style="14"/>
    <col min="13827" max="13827" width="1" style="14" customWidth="1"/>
    <col min="13828" max="13835" width="17.875" style="14" customWidth="1"/>
    <col min="13836" max="14082" width="9" style="14"/>
    <col min="14083" max="14083" width="1" style="14" customWidth="1"/>
    <col min="14084" max="14091" width="17.875" style="14" customWidth="1"/>
    <col min="14092" max="14338" width="9" style="14"/>
    <col min="14339" max="14339" width="1" style="14" customWidth="1"/>
    <col min="14340" max="14347" width="17.875" style="14" customWidth="1"/>
    <col min="14348" max="14594" width="9" style="14"/>
    <col min="14595" max="14595" width="1" style="14" customWidth="1"/>
    <col min="14596" max="14603" width="17.875" style="14" customWidth="1"/>
    <col min="14604" max="14850" width="9" style="14"/>
    <col min="14851" max="14851" width="1" style="14" customWidth="1"/>
    <col min="14852" max="14859" width="17.875" style="14" customWidth="1"/>
    <col min="14860" max="15106" width="9" style="14"/>
    <col min="15107" max="15107" width="1" style="14" customWidth="1"/>
    <col min="15108" max="15115" width="17.875" style="14" customWidth="1"/>
    <col min="15116" max="15362" width="9" style="14"/>
    <col min="15363" max="15363" width="1" style="14" customWidth="1"/>
    <col min="15364" max="15371" width="17.875" style="14" customWidth="1"/>
    <col min="15372" max="15618" width="9" style="14"/>
    <col min="15619" max="15619" width="1" style="14" customWidth="1"/>
    <col min="15620" max="15627" width="17.875" style="14" customWidth="1"/>
    <col min="15628" max="15874" width="9" style="14"/>
    <col min="15875" max="15875" width="1" style="14" customWidth="1"/>
    <col min="15876" max="15883" width="17.875" style="14" customWidth="1"/>
    <col min="15884" max="16130" width="9" style="14"/>
    <col min="16131" max="16131" width="1" style="14" customWidth="1"/>
    <col min="16132" max="16139" width="17.875" style="14" customWidth="1"/>
    <col min="16140" max="16384" width="9" style="14"/>
  </cols>
  <sheetData>
    <row r="2" spans="2:17" ht="22.5">
      <c r="B2" s="791" t="s">
        <v>242</v>
      </c>
      <c r="C2" s="791"/>
      <c r="D2" s="791"/>
      <c r="E2" s="791"/>
      <c r="F2" s="791"/>
      <c r="G2" s="791"/>
      <c r="H2" s="791"/>
      <c r="I2" s="791"/>
      <c r="J2" s="791"/>
      <c r="K2" s="109"/>
    </row>
    <row r="4" spans="2:17">
      <c r="B4" s="15" t="s">
        <v>21</v>
      </c>
      <c r="C4" s="794"/>
      <c r="D4" s="794"/>
      <c r="E4" s="794"/>
      <c r="F4" s="794"/>
      <c r="G4" s="794"/>
      <c r="H4" s="794"/>
      <c r="I4" s="794"/>
      <c r="J4" s="794"/>
      <c r="K4" s="110"/>
    </row>
    <row r="5" spans="2:17" ht="12.75" thickBot="1">
      <c r="B5" s="15"/>
      <c r="C5" s="16"/>
      <c r="D5" s="16"/>
      <c r="E5" s="16"/>
      <c r="F5" s="16"/>
      <c r="G5" s="16"/>
      <c r="H5" s="16"/>
      <c r="I5" s="16"/>
      <c r="J5" s="17" t="s">
        <v>136</v>
      </c>
      <c r="K5" s="17"/>
    </row>
    <row r="6" spans="2:17" ht="15" customHeight="1" thickBot="1">
      <c r="B6" s="786" t="s">
        <v>169</v>
      </c>
      <c r="C6" s="787"/>
      <c r="D6" s="787"/>
      <c r="E6" s="787"/>
      <c r="F6" s="788"/>
      <c r="G6" s="786" t="s">
        <v>163</v>
      </c>
      <c r="H6" s="787"/>
      <c r="I6" s="787"/>
      <c r="J6" s="787"/>
      <c r="K6" s="788"/>
      <c r="M6" s="780"/>
      <c r="N6" s="780"/>
      <c r="O6" s="88"/>
      <c r="P6" s="88"/>
      <c r="Q6" s="88"/>
    </row>
    <row r="7" spans="2:17" ht="15" customHeight="1">
      <c r="B7" s="792" t="s">
        <v>139</v>
      </c>
      <c r="C7" s="774" t="s">
        <v>365</v>
      </c>
      <c r="D7" s="774" t="s">
        <v>364</v>
      </c>
      <c r="E7" s="782" t="s">
        <v>27</v>
      </c>
      <c r="F7" s="784" t="s">
        <v>153</v>
      </c>
      <c r="G7" s="792" t="s">
        <v>139</v>
      </c>
      <c r="H7" s="774" t="s">
        <v>365</v>
      </c>
      <c r="I7" s="774" t="s">
        <v>364</v>
      </c>
      <c r="J7" s="782" t="s">
        <v>27</v>
      </c>
      <c r="K7" s="784" t="s">
        <v>153</v>
      </c>
      <c r="M7" s="780"/>
      <c r="N7" s="780"/>
      <c r="O7" s="89"/>
      <c r="P7" s="89"/>
      <c r="Q7" s="89"/>
    </row>
    <row r="8" spans="2:17" ht="15" customHeight="1">
      <c r="B8" s="793"/>
      <c r="C8" s="775"/>
      <c r="D8" s="775"/>
      <c r="E8" s="783"/>
      <c r="F8" s="785"/>
      <c r="G8" s="793"/>
      <c r="H8" s="775"/>
      <c r="I8" s="775"/>
      <c r="J8" s="783"/>
      <c r="K8" s="785"/>
      <c r="M8" s="781"/>
      <c r="N8" s="781"/>
      <c r="O8" s="90"/>
      <c r="P8" s="90"/>
      <c r="Q8" s="90"/>
    </row>
    <row r="9" spans="2:17" ht="15" customHeight="1">
      <c r="B9" s="125" t="s">
        <v>110</v>
      </c>
      <c r="C9" s="121">
        <f>SUM(C10:C17)</f>
        <v>1044974.2050000001</v>
      </c>
      <c r="D9" s="121">
        <f>SUM(D10:D17)</f>
        <v>1021862.401</v>
      </c>
      <c r="E9" s="122">
        <f>총괄!G6</f>
        <v>-23111.804</v>
      </c>
      <c r="F9" s="126">
        <f>D9/C9</f>
        <v>0.97788289520505423</v>
      </c>
      <c r="G9" s="125" t="s">
        <v>113</v>
      </c>
      <c r="H9" s="121">
        <f>SUM(H10:H16)</f>
        <v>1044974.2050000002</v>
      </c>
      <c r="I9" s="121">
        <f>총괄!M6</f>
        <v>1021861.7000000001</v>
      </c>
      <c r="J9" s="121">
        <f>총괄!N6</f>
        <v>-23112.505000000121</v>
      </c>
      <c r="K9" s="132">
        <f>I9/H9</f>
        <v>0.9778822243750982</v>
      </c>
      <c r="M9" s="781"/>
      <c r="N9" s="781"/>
      <c r="O9" s="90"/>
      <c r="P9" s="90"/>
      <c r="Q9" s="90"/>
    </row>
    <row r="10" spans="2:17" ht="15" customHeight="1">
      <c r="B10" s="127" t="s">
        <v>103</v>
      </c>
      <c r="C10" s="123">
        <f>총괄!E7</f>
        <v>50960</v>
      </c>
      <c r="D10" s="123">
        <f>총괄!F7</f>
        <v>54360.146000000001</v>
      </c>
      <c r="E10" s="123">
        <f>총괄!G7</f>
        <v>3400.1460000000006</v>
      </c>
      <c r="F10" s="128">
        <f>D10/C10</f>
        <v>1.0667218602825745</v>
      </c>
      <c r="G10" s="127" t="s">
        <v>71</v>
      </c>
      <c r="H10" s="123">
        <f>총괄!L7</f>
        <v>673986.43700000015</v>
      </c>
      <c r="I10" s="123">
        <f>총괄!M7</f>
        <v>666221.71200000006</v>
      </c>
      <c r="J10" s="123">
        <f t="shared" ref="J10:J16" si="0">I10-H10</f>
        <v>-7764.7250000000931</v>
      </c>
      <c r="K10" s="128">
        <f>I10/H10</f>
        <v>0.98847940466790118</v>
      </c>
      <c r="M10" s="781"/>
      <c r="N10" s="781"/>
      <c r="O10" s="90"/>
      <c r="P10" s="90"/>
      <c r="Q10" s="90"/>
    </row>
    <row r="11" spans="2:17" ht="15" customHeight="1">
      <c r="B11" s="127" t="s">
        <v>99</v>
      </c>
      <c r="C11" s="123">
        <f>총괄!E12</f>
        <v>859140</v>
      </c>
      <c r="D11" s="123">
        <f>총괄!F12</f>
        <v>860140</v>
      </c>
      <c r="E11" s="123">
        <f>총괄!G12</f>
        <v>1000</v>
      </c>
      <c r="F11" s="128">
        <f t="shared" ref="F11:F16" si="1">D11/C11</f>
        <v>1.0011639546523268</v>
      </c>
      <c r="G11" s="127" t="s">
        <v>83</v>
      </c>
      <c r="H11" s="123">
        <f>총괄!L25</f>
        <v>8540.67</v>
      </c>
      <c r="I11" s="123">
        <f>총괄!M25</f>
        <v>16566.97</v>
      </c>
      <c r="J11" s="123">
        <f t="shared" si="0"/>
        <v>8026.3000000000011</v>
      </c>
      <c r="K11" s="128">
        <f t="shared" ref="K11:K16" si="2">I11/H11</f>
        <v>1.9397740458301282</v>
      </c>
      <c r="M11" s="781"/>
      <c r="N11" s="781"/>
      <c r="O11" s="90"/>
      <c r="P11" s="90"/>
      <c r="Q11" s="90"/>
    </row>
    <row r="12" spans="2:17" ht="15" customHeight="1">
      <c r="B12" s="127" t="s">
        <v>60</v>
      </c>
      <c r="C12" s="123">
        <f>총괄!E18</f>
        <v>81500</v>
      </c>
      <c r="D12" s="123">
        <f>총괄!F18</f>
        <v>83780</v>
      </c>
      <c r="E12" s="123">
        <f>총괄!G18</f>
        <v>2280</v>
      </c>
      <c r="F12" s="128">
        <f t="shared" si="1"/>
        <v>1.0279754601226994</v>
      </c>
      <c r="G12" s="127" t="s">
        <v>70</v>
      </c>
      <c r="H12" s="123">
        <f>총괄!L30</f>
        <v>361954.56900000002</v>
      </c>
      <c r="I12" s="123">
        <f>총괄!M30</f>
        <v>332790.489</v>
      </c>
      <c r="J12" s="123">
        <f t="shared" si="0"/>
        <v>-29164.080000000016</v>
      </c>
      <c r="K12" s="128">
        <f t="shared" si="2"/>
        <v>0.91942613107337234</v>
      </c>
      <c r="M12" s="781"/>
      <c r="N12" s="781"/>
      <c r="O12" s="90"/>
      <c r="P12" s="90"/>
      <c r="Q12" s="90"/>
    </row>
    <row r="13" spans="2:17" ht="15" hidden="1" customHeight="1">
      <c r="B13" s="127"/>
      <c r="C13" s="123"/>
      <c r="D13" s="123"/>
      <c r="E13" s="123">
        <f>총괄!G19</f>
        <v>2280</v>
      </c>
      <c r="F13" s="128" t="e">
        <f t="shared" si="1"/>
        <v>#DIV/0!</v>
      </c>
      <c r="G13" s="127"/>
      <c r="H13" s="123"/>
      <c r="I13" s="123"/>
      <c r="J13" s="123">
        <f t="shared" si="0"/>
        <v>0</v>
      </c>
      <c r="K13" s="128" t="e">
        <f t="shared" si="2"/>
        <v>#DIV/0!</v>
      </c>
    </row>
    <row r="14" spans="2:17" ht="15" hidden="1" customHeight="1">
      <c r="B14" s="127"/>
      <c r="C14" s="123"/>
      <c r="D14" s="123"/>
      <c r="E14" s="123">
        <f>총괄!G20</f>
        <v>3170</v>
      </c>
      <c r="F14" s="128" t="e">
        <f t="shared" si="1"/>
        <v>#DIV/0!</v>
      </c>
      <c r="G14" s="127"/>
      <c r="H14" s="123"/>
      <c r="I14" s="123"/>
      <c r="J14" s="123">
        <f t="shared" si="0"/>
        <v>0</v>
      </c>
      <c r="K14" s="128" t="e">
        <f t="shared" si="2"/>
        <v>#DIV/0!</v>
      </c>
    </row>
    <row r="15" spans="2:17" ht="15" customHeight="1">
      <c r="B15" s="127" t="s">
        <v>47</v>
      </c>
      <c r="C15" s="123">
        <f>총괄!E22</f>
        <v>30000</v>
      </c>
      <c r="D15" s="123">
        <f>총괄!F22</f>
        <v>2.9000000000000001E-2</v>
      </c>
      <c r="E15" s="123">
        <f>총괄!G22</f>
        <v>-29999.971000000001</v>
      </c>
      <c r="F15" s="128" t="s">
        <v>277</v>
      </c>
      <c r="G15" s="127" t="s">
        <v>66</v>
      </c>
      <c r="H15" s="123">
        <v>0</v>
      </c>
      <c r="I15" s="123">
        <v>0</v>
      </c>
      <c r="J15" s="123">
        <f t="shared" si="0"/>
        <v>0</v>
      </c>
      <c r="K15" s="128" t="s">
        <v>200</v>
      </c>
    </row>
    <row r="16" spans="2:17">
      <c r="B16" s="127" t="s">
        <v>49</v>
      </c>
      <c r="C16" s="124">
        <f>총괄!E26</f>
        <v>22112.785</v>
      </c>
      <c r="D16" s="124">
        <f>총괄!F26</f>
        <v>22112.785</v>
      </c>
      <c r="E16" s="124">
        <f>총괄!G26</f>
        <v>0</v>
      </c>
      <c r="F16" s="128">
        <f t="shared" si="1"/>
        <v>1</v>
      </c>
      <c r="G16" s="127" t="s">
        <v>32</v>
      </c>
      <c r="H16" s="123">
        <f>총괄!L41</f>
        <v>492.529</v>
      </c>
      <c r="I16" s="123">
        <f>총괄!M41</f>
        <v>6282.5290000000005</v>
      </c>
      <c r="J16" s="123">
        <f t="shared" si="0"/>
        <v>5790</v>
      </c>
      <c r="K16" s="128">
        <f t="shared" si="2"/>
        <v>12.755652966627347</v>
      </c>
    </row>
    <row r="17" spans="2:11" ht="12.75" thickBot="1">
      <c r="B17" s="129" t="s">
        <v>193</v>
      </c>
      <c r="C17" s="130">
        <f>총괄!E29</f>
        <v>1261.42</v>
      </c>
      <c r="D17" s="130">
        <f>총괄!F29</f>
        <v>1469.441</v>
      </c>
      <c r="E17" s="130">
        <f>총괄!G29</f>
        <v>208.02099999999996</v>
      </c>
      <c r="F17" s="131">
        <f>D17/C17</f>
        <v>1.1649101805901285</v>
      </c>
      <c r="G17" s="129"/>
      <c r="H17" s="133"/>
      <c r="I17" s="133"/>
      <c r="J17" s="133"/>
      <c r="K17" s="131"/>
    </row>
    <row r="18" spans="2:11">
      <c r="B18" s="15"/>
      <c r="C18" s="16"/>
      <c r="D18" s="16"/>
      <c r="E18" s="16"/>
      <c r="F18" s="16"/>
      <c r="G18" s="16"/>
      <c r="H18" s="16"/>
      <c r="I18" s="16"/>
      <c r="J18" s="16"/>
      <c r="K18" s="16"/>
    </row>
    <row r="19" spans="2:11">
      <c r="B19" s="15" t="s">
        <v>174</v>
      </c>
      <c r="C19" s="16"/>
      <c r="D19" s="16"/>
      <c r="E19" s="16"/>
      <c r="F19" s="16"/>
      <c r="G19" s="16"/>
      <c r="H19" s="16"/>
      <c r="I19" s="16"/>
      <c r="J19" s="16"/>
      <c r="K19" s="16"/>
    </row>
    <row r="20" spans="2:11" ht="12.75" thickBot="1">
      <c r="B20" s="15"/>
      <c r="C20" s="16"/>
      <c r="D20" s="16"/>
      <c r="E20" s="16"/>
      <c r="F20" s="16"/>
      <c r="G20" s="17"/>
      <c r="H20" s="16"/>
      <c r="I20" s="16"/>
      <c r="J20" s="16"/>
      <c r="K20" s="16"/>
    </row>
    <row r="21" spans="2:11" ht="15" customHeight="1" thickBot="1">
      <c r="B21" s="776" t="s">
        <v>46</v>
      </c>
      <c r="C21" s="777"/>
      <c r="D21" s="104" t="s">
        <v>143</v>
      </c>
      <c r="E21" s="102" t="s">
        <v>67</v>
      </c>
      <c r="F21" s="103" t="s">
        <v>61</v>
      </c>
      <c r="G21" s="88"/>
      <c r="H21" s="16"/>
      <c r="I21" s="16"/>
      <c r="J21" s="16"/>
      <c r="K21" s="16"/>
    </row>
    <row r="22" spans="2:11" ht="15" customHeight="1">
      <c r="B22" s="789"/>
      <c r="C22" s="790"/>
      <c r="D22" s="101">
        <f>SUM(D23:D30)</f>
        <v>860140</v>
      </c>
      <c r="E22" s="87">
        <f>SUM(E23:E29)</f>
        <v>443521</v>
      </c>
      <c r="F22" s="274">
        <f>SUM(F23:F30)</f>
        <v>416619</v>
      </c>
      <c r="G22" s="89"/>
      <c r="H22" s="16"/>
      <c r="I22" s="16"/>
      <c r="J22" s="16"/>
      <c r="K22" s="16"/>
    </row>
    <row r="23" spans="2:11" ht="15" customHeight="1">
      <c r="B23" s="778" t="s">
        <v>280</v>
      </c>
      <c r="C23" s="779"/>
      <c r="D23" s="115">
        <f>E23+F23</f>
        <v>508960</v>
      </c>
      <c r="E23" s="116">
        <v>254480</v>
      </c>
      <c r="F23" s="117">
        <f>E23</f>
        <v>254480</v>
      </c>
      <c r="G23" s="90"/>
      <c r="H23" s="16"/>
      <c r="I23" s="16"/>
      <c r="J23" s="16"/>
      <c r="K23" s="16"/>
    </row>
    <row r="24" spans="2:11" ht="15" customHeight="1">
      <c r="B24" s="778" t="s">
        <v>259</v>
      </c>
      <c r="C24" s="779"/>
      <c r="D24" s="115">
        <f t="shared" ref="D24:D30" si="3">E24+F24</f>
        <v>133850</v>
      </c>
      <c r="E24" s="116">
        <v>66925</v>
      </c>
      <c r="F24" s="117">
        <f>E24</f>
        <v>66925</v>
      </c>
      <c r="G24" s="90"/>
      <c r="H24" s="16"/>
      <c r="I24" s="16"/>
      <c r="J24" s="16"/>
      <c r="K24" s="16"/>
    </row>
    <row r="25" spans="2:11" ht="15" customHeight="1">
      <c r="B25" s="778" t="s">
        <v>13</v>
      </c>
      <c r="C25" s="779"/>
      <c r="D25" s="115">
        <f t="shared" si="3"/>
        <v>55194</v>
      </c>
      <c r="E25" s="116">
        <v>27597</v>
      </c>
      <c r="F25" s="117">
        <f>E25</f>
        <v>27597</v>
      </c>
      <c r="G25" s="90"/>
      <c r="H25" s="16"/>
      <c r="I25" s="16"/>
      <c r="J25" s="16"/>
      <c r="K25" s="16"/>
    </row>
    <row r="26" spans="2:11" ht="15" customHeight="1">
      <c r="B26" s="778" t="s">
        <v>182</v>
      </c>
      <c r="C26" s="779"/>
      <c r="D26" s="115">
        <f t="shared" si="3"/>
        <v>37017</v>
      </c>
      <c r="E26" s="116">
        <v>18508</v>
      </c>
      <c r="F26" s="117">
        <v>18509</v>
      </c>
      <c r="G26" s="90"/>
      <c r="H26" s="16"/>
      <c r="I26" s="16"/>
      <c r="J26" s="16"/>
      <c r="K26" s="16"/>
    </row>
    <row r="27" spans="2:11" ht="15" customHeight="1">
      <c r="B27" s="795" t="s">
        <v>244</v>
      </c>
      <c r="C27" s="796"/>
      <c r="D27" s="115">
        <f t="shared" si="3"/>
        <v>34023</v>
      </c>
      <c r="E27" s="116">
        <v>17011</v>
      </c>
      <c r="F27" s="117">
        <v>17012</v>
      </c>
      <c r="G27" s="90"/>
      <c r="H27" s="16"/>
      <c r="I27" s="16"/>
      <c r="J27" s="16"/>
      <c r="K27" s="16"/>
    </row>
    <row r="28" spans="2:11" ht="15" customHeight="1">
      <c r="B28" s="778" t="s">
        <v>165</v>
      </c>
      <c r="C28" s="779"/>
      <c r="D28" s="115">
        <f>E28+F28</f>
        <v>15500</v>
      </c>
      <c r="E28" s="116">
        <v>7750</v>
      </c>
      <c r="F28" s="117">
        <f>E28</f>
        <v>7750</v>
      </c>
      <c r="G28" s="90"/>
      <c r="H28" s="16"/>
      <c r="I28" s="16"/>
      <c r="J28" s="16"/>
      <c r="K28" s="16"/>
    </row>
    <row r="29" spans="2:11" ht="15" customHeight="1">
      <c r="B29" s="778" t="s">
        <v>192</v>
      </c>
      <c r="C29" s="779"/>
      <c r="D29" s="115">
        <f t="shared" si="3"/>
        <v>51250</v>
      </c>
      <c r="E29" s="116">
        <v>51250</v>
      </c>
      <c r="F29" s="117">
        <v>0</v>
      </c>
      <c r="G29" s="90"/>
      <c r="H29" s="16"/>
      <c r="I29" s="16"/>
      <c r="J29" s="16"/>
      <c r="K29" s="16"/>
    </row>
    <row r="30" spans="2:11" ht="15" customHeight="1" thickBot="1">
      <c r="B30" s="772" t="s">
        <v>245</v>
      </c>
      <c r="C30" s="773"/>
      <c r="D30" s="118">
        <f t="shared" si="3"/>
        <v>24346</v>
      </c>
      <c r="E30" s="119">
        <v>0</v>
      </c>
      <c r="F30" s="120">
        <v>24346</v>
      </c>
      <c r="G30" s="90"/>
      <c r="H30" s="16"/>
      <c r="I30" s="16"/>
      <c r="J30" s="16"/>
      <c r="K30" s="16"/>
    </row>
    <row r="31" spans="2:11">
      <c r="B31" s="15"/>
      <c r="C31" s="16"/>
      <c r="D31" s="16"/>
      <c r="E31" s="16"/>
      <c r="F31" s="16"/>
      <c r="G31" s="16"/>
      <c r="H31" s="16"/>
      <c r="I31" s="16"/>
      <c r="J31" s="16"/>
      <c r="K31" s="16"/>
    </row>
    <row r="32" spans="2:11">
      <c r="B32" s="15" t="s">
        <v>178</v>
      </c>
      <c r="E32" s="18"/>
      <c r="F32" s="18"/>
    </row>
    <row r="33" spans="2:14" s="75" customFormat="1">
      <c r="B33" s="15" t="s">
        <v>104</v>
      </c>
    </row>
    <row r="34" spans="2:14" s="252" customFormat="1">
      <c r="B34" s="255" t="s">
        <v>353</v>
      </c>
      <c r="C34" s="251"/>
      <c r="D34" s="251"/>
      <c r="E34" s="251"/>
      <c r="F34" s="251"/>
    </row>
    <row r="35" spans="2:14" s="252" customFormat="1">
      <c r="B35" s="255" t="s">
        <v>279</v>
      </c>
      <c r="C35" s="251"/>
      <c r="D35" s="251"/>
      <c r="E35" s="251"/>
      <c r="F35" s="251"/>
    </row>
    <row r="36" spans="2:14" s="252" customFormat="1">
      <c r="B36" s="255" t="s">
        <v>373</v>
      </c>
      <c r="C36" s="251"/>
      <c r="D36" s="251"/>
      <c r="E36" s="251"/>
      <c r="F36" s="251"/>
    </row>
    <row r="37" spans="2:14" s="252" customFormat="1">
      <c r="B37" s="255" t="s">
        <v>375</v>
      </c>
      <c r="C37" s="251"/>
      <c r="D37" s="251"/>
      <c r="E37" s="251"/>
      <c r="F37" s="251"/>
    </row>
    <row r="38" spans="2:14" s="252" customFormat="1">
      <c r="B38" s="255" t="s">
        <v>374</v>
      </c>
      <c r="C38" s="251"/>
      <c r="D38" s="251"/>
      <c r="E38" s="251"/>
      <c r="F38" s="251"/>
    </row>
    <row r="39" spans="2:14" s="252" customFormat="1">
      <c r="B39" s="255" t="s">
        <v>376</v>
      </c>
      <c r="C39" s="251"/>
      <c r="D39" s="251"/>
      <c r="E39" s="251"/>
      <c r="F39" s="251"/>
    </row>
    <row r="40" spans="2:14" s="252" customFormat="1">
      <c r="B40" s="255" t="s">
        <v>377</v>
      </c>
      <c r="C40" s="251"/>
      <c r="D40" s="251"/>
      <c r="E40" s="251"/>
      <c r="F40" s="251"/>
    </row>
    <row r="41" spans="2:14" s="252" customFormat="1">
      <c r="B41" s="255" t="s">
        <v>354</v>
      </c>
      <c r="C41" s="251"/>
      <c r="D41" s="251"/>
      <c r="E41" s="251"/>
      <c r="F41" s="251"/>
    </row>
    <row r="42" spans="2:14" s="252" customFormat="1">
      <c r="B42" s="18"/>
      <c r="C42" s="251"/>
      <c r="D42" s="251"/>
      <c r="E42" s="251"/>
      <c r="F42" s="251"/>
    </row>
    <row r="43" spans="2:14" s="252" customFormat="1">
      <c r="B43" s="256" t="s">
        <v>116</v>
      </c>
    </row>
    <row r="44" spans="2:14" s="279" customFormat="1">
      <c r="B44" s="255" t="s">
        <v>383</v>
      </c>
      <c r="C44" s="276"/>
      <c r="D44" s="276"/>
      <c r="E44" s="277"/>
      <c r="F44" s="277"/>
      <c r="G44" s="278"/>
      <c r="H44" s="278"/>
      <c r="I44" s="278"/>
      <c r="J44" s="278"/>
      <c r="K44" s="278"/>
      <c r="L44" s="278"/>
      <c r="M44" s="278"/>
      <c r="N44" s="278"/>
    </row>
    <row r="45" spans="2:14" s="279" customFormat="1">
      <c r="B45" s="255" t="s">
        <v>378</v>
      </c>
      <c r="C45" s="276"/>
      <c r="D45" s="276"/>
      <c r="E45" s="277"/>
      <c r="F45" s="277"/>
      <c r="G45" s="278"/>
      <c r="H45" s="278"/>
      <c r="I45" s="278"/>
      <c r="J45" s="278"/>
      <c r="K45" s="278"/>
      <c r="L45" s="278"/>
      <c r="M45" s="278"/>
      <c r="N45" s="278"/>
    </row>
    <row r="46" spans="2:14" s="279" customFormat="1">
      <c r="B46" s="255" t="s">
        <v>355</v>
      </c>
      <c r="C46" s="276"/>
      <c r="D46" s="276"/>
      <c r="E46" s="277"/>
      <c r="F46" s="277"/>
      <c r="G46" s="278"/>
      <c r="H46" s="278"/>
      <c r="I46" s="278"/>
      <c r="J46" s="278"/>
      <c r="K46" s="278"/>
      <c r="L46" s="278"/>
      <c r="M46" s="278"/>
      <c r="N46" s="278"/>
    </row>
    <row r="47" spans="2:14" s="279" customFormat="1">
      <c r="B47" s="255" t="s">
        <v>379</v>
      </c>
      <c r="C47" s="276"/>
      <c r="D47" s="276"/>
      <c r="E47" s="277"/>
      <c r="F47" s="277"/>
      <c r="G47" s="278"/>
      <c r="H47" s="278"/>
      <c r="I47" s="278"/>
      <c r="J47" s="278"/>
      <c r="K47" s="278"/>
      <c r="L47" s="278"/>
      <c r="M47" s="278"/>
      <c r="N47" s="278"/>
    </row>
    <row r="48" spans="2:14" s="18" customFormat="1">
      <c r="B48" s="255" t="s">
        <v>380</v>
      </c>
    </row>
    <row r="49" spans="2:2" s="18" customFormat="1">
      <c r="B49" s="255" t="s">
        <v>384</v>
      </c>
    </row>
  </sheetData>
  <mergeCells count="31">
    <mergeCell ref="B6:F6"/>
    <mergeCell ref="G6:K6"/>
    <mergeCell ref="B29:C29"/>
    <mergeCell ref="B22:C22"/>
    <mergeCell ref="B2:J2"/>
    <mergeCell ref="B7:B8"/>
    <mergeCell ref="E7:E8"/>
    <mergeCell ref="G7:G8"/>
    <mergeCell ref="C4:J4"/>
    <mergeCell ref="F7:F8"/>
    <mergeCell ref="B27:C27"/>
    <mergeCell ref="M12:N12"/>
    <mergeCell ref="M7:N7"/>
    <mergeCell ref="J7:J8"/>
    <mergeCell ref="I7:I8"/>
    <mergeCell ref="H7:H8"/>
    <mergeCell ref="K7:K8"/>
    <mergeCell ref="M6:N6"/>
    <mergeCell ref="M8:N8"/>
    <mergeCell ref="M9:N9"/>
    <mergeCell ref="M10:N10"/>
    <mergeCell ref="M11:N11"/>
    <mergeCell ref="B30:C30"/>
    <mergeCell ref="D7:D8"/>
    <mergeCell ref="C7:C8"/>
    <mergeCell ref="B21:C21"/>
    <mergeCell ref="B23:C23"/>
    <mergeCell ref="B24:C24"/>
    <mergeCell ref="B25:C25"/>
    <mergeCell ref="B26:C26"/>
    <mergeCell ref="B28:C28"/>
  </mergeCells>
  <phoneticPr fontId="20" type="noConversion"/>
  <pageMargins left="0.59041666984558105" right="0.59041666984558105" top="0.78694444894790649" bottom="0.59041666984558105" header="0" footer="0"/>
  <pageSetup paperSize="9" scale="68" orientation="landscape" r:id="rId1"/>
  <colBreaks count="1" manualBreakCount="1">
    <brk id="11" max="163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8CBAC"/>
  </sheetPr>
  <dimension ref="B2:R202"/>
  <sheetViews>
    <sheetView showGridLines="0" view="pageBreakPreview" zoomScale="90" zoomScaleNormal="100" zoomScaleSheetLayoutView="90" workbookViewId="0">
      <pane xSplit="4" ySplit="6" topLeftCell="E10" activePane="bottomRight" state="frozen"/>
      <selection activeCell="C45" sqref="C45"/>
      <selection pane="topRight" activeCell="C45" sqref="C45"/>
      <selection pane="bottomLeft" activeCell="C45" sqref="C45"/>
      <selection pane="bottomRight" activeCell="R45" sqref="R45"/>
    </sheetView>
  </sheetViews>
  <sheetFormatPr defaultColWidth="9" defaultRowHeight="12"/>
  <cols>
    <col min="1" max="1" width="0.625" style="1" customWidth="1"/>
    <col min="2" max="4" width="9.75" style="1" customWidth="1"/>
    <col min="5" max="5" width="13.375" style="3" customWidth="1"/>
    <col min="6" max="6" width="14.375" style="1" customWidth="1"/>
    <col min="7" max="8" width="13.625" style="3" customWidth="1"/>
    <col min="9" max="9" width="10.25" style="1" customWidth="1"/>
    <col min="10" max="10" width="10.625" style="1" customWidth="1"/>
    <col min="11" max="11" width="15.875" style="1" customWidth="1"/>
    <col min="12" max="12" width="15.625" style="2" customWidth="1"/>
    <col min="13" max="13" width="15.5" style="1" customWidth="1"/>
    <col min="14" max="15" width="12.875" style="1" customWidth="1"/>
    <col min="16" max="16384" width="9" style="1"/>
  </cols>
  <sheetData>
    <row r="2" spans="2:16" ht="30" customHeight="1">
      <c r="B2" s="816" t="s">
        <v>242</v>
      </c>
      <c r="C2" s="816"/>
      <c r="D2" s="816"/>
      <c r="E2" s="816"/>
      <c r="F2" s="816"/>
      <c r="G2" s="816"/>
      <c r="H2" s="816"/>
      <c r="I2" s="816"/>
      <c r="J2" s="816"/>
      <c r="K2" s="816"/>
      <c r="L2" s="816"/>
      <c r="M2" s="816"/>
      <c r="N2" s="817"/>
      <c r="O2" s="137"/>
    </row>
    <row r="3" spans="2:16" ht="17.45" customHeight="1" thickBot="1">
      <c r="B3" s="812" t="s">
        <v>39</v>
      </c>
      <c r="C3" s="812"/>
      <c r="D3" s="812"/>
      <c r="E3" s="4"/>
      <c r="F3" s="13"/>
      <c r="G3" s="4"/>
      <c r="H3" s="4"/>
      <c r="I3" s="812"/>
      <c r="J3" s="812"/>
      <c r="K3" s="812"/>
      <c r="L3" s="12"/>
      <c r="M3" s="13"/>
    </row>
    <row r="4" spans="2:16" ht="24" customHeight="1">
      <c r="B4" s="813" t="s">
        <v>25</v>
      </c>
      <c r="C4" s="814"/>
      <c r="D4" s="814"/>
      <c r="E4" s="774" t="s">
        <v>365</v>
      </c>
      <c r="F4" s="774" t="s">
        <v>364</v>
      </c>
      <c r="G4" s="815" t="s">
        <v>27</v>
      </c>
      <c r="H4" s="801" t="s">
        <v>201</v>
      </c>
      <c r="I4" s="813" t="s">
        <v>25</v>
      </c>
      <c r="J4" s="814"/>
      <c r="K4" s="814"/>
      <c r="L4" s="774" t="s">
        <v>365</v>
      </c>
      <c r="M4" s="774" t="s">
        <v>364</v>
      </c>
      <c r="N4" s="815" t="s">
        <v>27</v>
      </c>
      <c r="O4" s="797" t="s">
        <v>202</v>
      </c>
    </row>
    <row r="5" spans="2:16" ht="24" customHeight="1">
      <c r="B5" s="108" t="s">
        <v>62</v>
      </c>
      <c r="C5" s="53" t="s">
        <v>53</v>
      </c>
      <c r="D5" s="53" t="s">
        <v>54</v>
      </c>
      <c r="E5" s="775"/>
      <c r="F5" s="775"/>
      <c r="G5" s="783"/>
      <c r="H5" s="802"/>
      <c r="I5" s="108" t="s">
        <v>62</v>
      </c>
      <c r="J5" s="53" t="s">
        <v>53</v>
      </c>
      <c r="K5" s="53" t="s">
        <v>54</v>
      </c>
      <c r="L5" s="775"/>
      <c r="M5" s="775"/>
      <c r="N5" s="783"/>
      <c r="O5" s="798"/>
    </row>
    <row r="6" spans="2:16" ht="24" customHeight="1">
      <c r="B6" s="826" t="s">
        <v>154</v>
      </c>
      <c r="C6" s="827"/>
      <c r="D6" s="828"/>
      <c r="E6" s="138">
        <f>SUM(E7,E12,E18,E22,E25,E29)</f>
        <v>1044974.2050000001</v>
      </c>
      <c r="F6" s="140">
        <f>SUM(F7,F12,F18,F22,F25,F29)</f>
        <v>1021862.401</v>
      </c>
      <c r="G6" s="141">
        <f>SUM(G7,G12,G18,G22,G25,G29)</f>
        <v>-23111.804</v>
      </c>
      <c r="H6" s="139">
        <f t="shared" ref="H6:H21" si="0">F6/E6</f>
        <v>0.97788289520505423</v>
      </c>
      <c r="I6" s="824" t="s">
        <v>128</v>
      </c>
      <c r="J6" s="825"/>
      <c r="K6" s="825"/>
      <c r="L6" s="84">
        <f>세출!D6</f>
        <v>1044974.2050000002</v>
      </c>
      <c r="M6" s="84">
        <f>세출!E6</f>
        <v>1021861.7000000001</v>
      </c>
      <c r="N6" s="197">
        <f>M6-L6</f>
        <v>-23112.505000000121</v>
      </c>
      <c r="O6" s="215">
        <f>M6/L6</f>
        <v>0.9778822243750982</v>
      </c>
      <c r="P6" s="67"/>
    </row>
    <row r="7" spans="2:16" ht="17.45" customHeight="1">
      <c r="B7" s="831" t="s">
        <v>103</v>
      </c>
      <c r="C7" s="829" t="s">
        <v>50</v>
      </c>
      <c r="D7" s="830"/>
      <c r="E7" s="164">
        <f>SUM(E8)</f>
        <v>50960</v>
      </c>
      <c r="F7" s="157">
        <f>SUM(F8)</f>
        <v>54360.146000000001</v>
      </c>
      <c r="G7" s="149">
        <f>+F7-E7</f>
        <v>3400.1460000000006</v>
      </c>
      <c r="H7" s="142">
        <f t="shared" si="0"/>
        <v>1.0667218602825745</v>
      </c>
      <c r="I7" s="11" t="s">
        <v>71</v>
      </c>
      <c r="J7" s="10"/>
      <c r="K7" s="52" t="s">
        <v>50</v>
      </c>
      <c r="L7" s="191">
        <f>SUM(L8,L15,L18)</f>
        <v>673986.43700000015</v>
      </c>
      <c r="M7" s="186">
        <f>SUM(M8,M15,M18)</f>
        <v>666221.71200000006</v>
      </c>
      <c r="N7" s="191">
        <f>N8+N15+N18</f>
        <v>-7764.7249999999958</v>
      </c>
      <c r="O7" s="210">
        <f>M7/L7</f>
        <v>0.98847940466790118</v>
      </c>
    </row>
    <row r="8" spans="2:16" ht="17.45" customHeight="1">
      <c r="B8" s="832"/>
      <c r="C8" s="804" t="s">
        <v>103</v>
      </c>
      <c r="D8" s="167" t="s">
        <v>127</v>
      </c>
      <c r="E8" s="161">
        <f>SUM(E9:E11)</f>
        <v>50960</v>
      </c>
      <c r="F8" s="158">
        <f>SUM(F9:F11)</f>
        <v>54360.146000000001</v>
      </c>
      <c r="G8" s="150">
        <f>SUM(G9:G11)</f>
        <v>3400.1460000000006</v>
      </c>
      <c r="H8" s="143">
        <f t="shared" si="0"/>
        <v>1.0667218602825745</v>
      </c>
      <c r="I8" s="85"/>
      <c r="J8" s="181" t="s">
        <v>74</v>
      </c>
      <c r="K8" s="200" t="s">
        <v>127</v>
      </c>
      <c r="L8" s="189">
        <f>SUM(L9:L14)</f>
        <v>602430.45600000012</v>
      </c>
      <c r="M8" s="189">
        <f>SUM(M9:M14)</f>
        <v>588207.22400000005</v>
      </c>
      <c r="N8" s="189">
        <f>SUM(N9:N14)</f>
        <v>-14223.231999999993</v>
      </c>
      <c r="O8" s="208">
        <f>M8/L8</f>
        <v>0.97639025076115993</v>
      </c>
    </row>
    <row r="9" spans="2:16" ht="17.45" customHeight="1">
      <c r="B9" s="832"/>
      <c r="C9" s="804"/>
      <c r="D9" s="169" t="s">
        <v>103</v>
      </c>
      <c r="E9" s="162">
        <f>세입!E10</f>
        <v>8760</v>
      </c>
      <c r="F9" s="159">
        <f>세입!F10</f>
        <v>8760.1460000000006</v>
      </c>
      <c r="G9" s="151">
        <f>+F9-E9</f>
        <v>0.14600000000064028</v>
      </c>
      <c r="H9" s="144">
        <f t="shared" si="0"/>
        <v>1.0000166666666668</v>
      </c>
      <c r="I9" s="85"/>
      <c r="J9" s="183"/>
      <c r="K9" s="820" t="s">
        <v>72</v>
      </c>
      <c r="L9" s="822">
        <f>세출!D9</f>
        <v>447092.11</v>
      </c>
      <c r="M9" s="822">
        <f>세출!E9</f>
        <v>442058.55</v>
      </c>
      <c r="N9" s="818">
        <f>M9-L9</f>
        <v>-5033.5599999999977</v>
      </c>
      <c r="O9" s="799">
        <f>M9/L9</f>
        <v>0.9887415593176091</v>
      </c>
    </row>
    <row r="10" spans="2:16" ht="17.45" customHeight="1">
      <c r="B10" s="832"/>
      <c r="C10" s="804"/>
      <c r="D10" s="169" t="str">
        <f>세입!D12</f>
        <v>일학습병행 
사업수입</v>
      </c>
      <c r="E10" s="162">
        <f>세입!E12</f>
        <v>41200</v>
      </c>
      <c r="F10" s="159">
        <f>세입!F12</f>
        <v>44600</v>
      </c>
      <c r="G10" s="152">
        <f>세입!G12</f>
        <v>3400</v>
      </c>
      <c r="H10" s="144">
        <f t="shared" si="0"/>
        <v>1.0825242718446602</v>
      </c>
      <c r="I10" s="85"/>
      <c r="J10" s="183"/>
      <c r="K10" s="821"/>
      <c r="L10" s="823"/>
      <c r="M10" s="823"/>
      <c r="N10" s="819"/>
      <c r="O10" s="800"/>
    </row>
    <row r="11" spans="2:16" ht="17.45" customHeight="1">
      <c r="B11" s="833"/>
      <c r="C11" s="805"/>
      <c r="D11" s="168" t="str">
        <f>세입!D14</f>
        <v>현장실습수입</v>
      </c>
      <c r="E11" s="163">
        <f>세입!E14</f>
        <v>1000</v>
      </c>
      <c r="F11" s="160">
        <f>세입!F14</f>
        <v>1000</v>
      </c>
      <c r="G11" s="153">
        <f>세입!G14</f>
        <v>0</v>
      </c>
      <c r="H11" s="145">
        <f t="shared" si="0"/>
        <v>1</v>
      </c>
      <c r="I11" s="85"/>
      <c r="J11" s="183"/>
      <c r="K11" s="198" t="s">
        <v>45</v>
      </c>
      <c r="L11" s="187">
        <f>세출!D45</f>
        <v>62293.52</v>
      </c>
      <c r="M11" s="187">
        <f>세출!E45</f>
        <v>56762</v>
      </c>
      <c r="N11" s="216">
        <f>M11-L11</f>
        <v>-5531.5199999999968</v>
      </c>
      <c r="O11" s="799">
        <f>M11/L11</f>
        <v>0.91120232088345632</v>
      </c>
    </row>
    <row r="12" spans="2:16" ht="17.45" customHeight="1">
      <c r="B12" s="11" t="s">
        <v>99</v>
      </c>
      <c r="C12" s="173" t="s">
        <v>50</v>
      </c>
      <c r="D12" s="166"/>
      <c r="E12" s="164">
        <f>SUM(E13)</f>
        <v>859140</v>
      </c>
      <c r="F12" s="157">
        <f>SUM(F13)</f>
        <v>860140</v>
      </c>
      <c r="G12" s="149">
        <f t="shared" ref="G12:G22" si="1">+F12-E12</f>
        <v>1000</v>
      </c>
      <c r="H12" s="142">
        <f t="shared" si="0"/>
        <v>1.0011639546523268</v>
      </c>
      <c r="I12" s="85"/>
      <c r="J12" s="183"/>
      <c r="K12" s="199" t="s">
        <v>97</v>
      </c>
      <c r="L12" s="187">
        <f>세출!D99</f>
        <v>40517.288</v>
      </c>
      <c r="M12" s="187">
        <f>세출!E99</f>
        <v>38461.754000000001</v>
      </c>
      <c r="N12" s="216">
        <f>M12-L12</f>
        <v>-2055.5339999999997</v>
      </c>
      <c r="O12" s="800"/>
    </row>
    <row r="13" spans="2:16" ht="17.45" customHeight="1">
      <c r="B13" s="175"/>
      <c r="C13" s="804" t="s">
        <v>99</v>
      </c>
      <c r="D13" s="167" t="s">
        <v>127</v>
      </c>
      <c r="E13" s="161">
        <f>SUM(E14:E17)</f>
        <v>859140</v>
      </c>
      <c r="F13" s="158">
        <f>SUM(F14:F17)</f>
        <v>860140</v>
      </c>
      <c r="G13" s="154">
        <f t="shared" si="1"/>
        <v>1000</v>
      </c>
      <c r="H13" s="143">
        <f t="shared" si="0"/>
        <v>1.0011639546523268</v>
      </c>
      <c r="I13" s="85"/>
      <c r="J13" s="183"/>
      <c r="K13" s="199" t="s">
        <v>82</v>
      </c>
      <c r="L13" s="187">
        <f>세출!D108</f>
        <v>50259.92</v>
      </c>
      <c r="M13" s="187">
        <f>세출!E108</f>
        <v>49026</v>
      </c>
      <c r="N13" s="216">
        <f>M13-L13</f>
        <v>-1233.9199999999983</v>
      </c>
      <c r="O13" s="799">
        <f>M13/L13</f>
        <v>0.97544922475005935</v>
      </c>
    </row>
    <row r="14" spans="2:16" ht="17.45" customHeight="1">
      <c r="B14" s="175"/>
      <c r="C14" s="804"/>
      <c r="D14" s="169" t="s">
        <v>147</v>
      </c>
      <c r="E14" s="162">
        <f>세입!E18</f>
        <v>443521</v>
      </c>
      <c r="F14" s="159">
        <f>세입!F18</f>
        <v>443521</v>
      </c>
      <c r="G14" s="152">
        <f>세입!G18</f>
        <v>0</v>
      </c>
      <c r="H14" s="144">
        <f t="shared" si="0"/>
        <v>1</v>
      </c>
      <c r="I14" s="85"/>
      <c r="J14" s="184"/>
      <c r="K14" s="199" t="s">
        <v>117</v>
      </c>
      <c r="L14" s="188">
        <f>세출!D117</f>
        <v>2267.6179999999999</v>
      </c>
      <c r="M14" s="206">
        <f>세출!E117</f>
        <v>1898.92</v>
      </c>
      <c r="N14" s="216">
        <f>M14-L14</f>
        <v>-368.69799999999987</v>
      </c>
      <c r="O14" s="800"/>
    </row>
    <row r="15" spans="2:16" ht="17.45" customHeight="1">
      <c r="B15" s="175"/>
      <c r="C15" s="804"/>
      <c r="D15" s="169" t="s">
        <v>145</v>
      </c>
      <c r="E15" s="162">
        <f>세입!E26</f>
        <v>275100</v>
      </c>
      <c r="F15" s="159">
        <f>세입!F26</f>
        <v>275100</v>
      </c>
      <c r="G15" s="152">
        <f>세입!G26</f>
        <v>0</v>
      </c>
      <c r="H15" s="144">
        <f t="shared" si="0"/>
        <v>1</v>
      </c>
      <c r="I15" s="85"/>
      <c r="J15" s="181" t="s">
        <v>134</v>
      </c>
      <c r="K15" s="200" t="s">
        <v>127</v>
      </c>
      <c r="L15" s="189">
        <f>L17+L16</f>
        <v>4935.5300000000007</v>
      </c>
      <c r="M15" s="189">
        <f>M17+M16</f>
        <v>13207.659</v>
      </c>
      <c r="N15" s="189">
        <f>SUM(N16:N17)</f>
        <v>8272.128999999999</v>
      </c>
      <c r="O15" s="208">
        <f t="shared" ref="O15:O29" si="2">M15/L15</f>
        <v>2.6760366161283584</v>
      </c>
    </row>
    <row r="16" spans="2:16" ht="17.45" customHeight="1">
      <c r="B16" s="175"/>
      <c r="C16" s="804"/>
      <c r="D16" s="169" t="s">
        <v>118</v>
      </c>
      <c r="E16" s="162">
        <f>세입!E36</f>
        <v>135519</v>
      </c>
      <c r="F16" s="159">
        <f>세입!F36</f>
        <v>135519</v>
      </c>
      <c r="G16" s="152">
        <f>세입!G36</f>
        <v>0</v>
      </c>
      <c r="H16" s="144">
        <f t="shared" si="0"/>
        <v>1</v>
      </c>
      <c r="I16" s="85"/>
      <c r="J16" s="184"/>
      <c r="K16" s="201" t="s">
        <v>123</v>
      </c>
      <c r="L16" s="190">
        <f>세출!D126</f>
        <v>3338.03</v>
      </c>
      <c r="M16" s="190">
        <f>세출!E126</f>
        <v>11408.339</v>
      </c>
      <c r="N16" s="217">
        <f>M16-L16</f>
        <v>8070.3089999999993</v>
      </c>
      <c r="O16" s="209">
        <f t="shared" si="2"/>
        <v>3.4176861801721374</v>
      </c>
    </row>
    <row r="17" spans="2:18" ht="17.45" customHeight="1">
      <c r="B17" s="176"/>
      <c r="C17" s="805"/>
      <c r="D17" s="168" t="s">
        <v>121</v>
      </c>
      <c r="E17" s="163">
        <f>세입!E39</f>
        <v>5000</v>
      </c>
      <c r="F17" s="160">
        <f>세입!F39</f>
        <v>6000</v>
      </c>
      <c r="G17" s="153">
        <f>세입!G39</f>
        <v>1000</v>
      </c>
      <c r="H17" s="145">
        <f t="shared" si="0"/>
        <v>1.2</v>
      </c>
      <c r="I17" s="85"/>
      <c r="J17" s="183"/>
      <c r="K17" s="201" t="s">
        <v>44</v>
      </c>
      <c r="L17" s="190">
        <f>세출!D130</f>
        <v>1597.5</v>
      </c>
      <c r="M17" s="190">
        <f>세출!E130</f>
        <v>1799.32</v>
      </c>
      <c r="N17" s="217">
        <f>M17-L17</f>
        <v>201.81999999999994</v>
      </c>
      <c r="O17" s="209">
        <f t="shared" si="2"/>
        <v>1.1263348982785601</v>
      </c>
    </row>
    <row r="18" spans="2:18" ht="17.45" customHeight="1">
      <c r="B18" s="177" t="s">
        <v>105</v>
      </c>
      <c r="C18" s="173" t="s">
        <v>50</v>
      </c>
      <c r="D18" s="166"/>
      <c r="E18" s="164">
        <f>SUM(E19)</f>
        <v>81500</v>
      </c>
      <c r="F18" s="157">
        <f>SUM(F19)</f>
        <v>83780</v>
      </c>
      <c r="G18" s="149">
        <f t="shared" si="1"/>
        <v>2280</v>
      </c>
      <c r="H18" s="142">
        <f t="shared" si="0"/>
        <v>1.0279754601226994</v>
      </c>
      <c r="I18" s="85"/>
      <c r="J18" s="181" t="s">
        <v>129</v>
      </c>
      <c r="K18" s="200" t="s">
        <v>127</v>
      </c>
      <c r="L18" s="189">
        <f>SUM(L19:L24)</f>
        <v>66620.451000000001</v>
      </c>
      <c r="M18" s="189">
        <f>SUM(M19:M24)</f>
        <v>64806.829000000005</v>
      </c>
      <c r="N18" s="189">
        <f>SUM(N19:N24)</f>
        <v>-1813.6220000000021</v>
      </c>
      <c r="O18" s="208">
        <f t="shared" si="2"/>
        <v>0.97277679792350857</v>
      </c>
    </row>
    <row r="19" spans="2:18" ht="17.45" customHeight="1">
      <c r="B19" s="175"/>
      <c r="C19" s="804" t="s">
        <v>105</v>
      </c>
      <c r="D19" s="167" t="s">
        <v>127</v>
      </c>
      <c r="E19" s="161">
        <f>SUM(E20:E21)</f>
        <v>81500</v>
      </c>
      <c r="F19" s="158">
        <f>SUM(F20:F21)</f>
        <v>83780</v>
      </c>
      <c r="G19" s="154">
        <f t="shared" si="1"/>
        <v>2280</v>
      </c>
      <c r="H19" s="143">
        <f t="shared" si="0"/>
        <v>1.0279754601226994</v>
      </c>
      <c r="I19" s="85"/>
      <c r="J19" s="183"/>
      <c r="K19" s="201" t="s">
        <v>102</v>
      </c>
      <c r="L19" s="190">
        <f>세출!D138</f>
        <v>20502.75</v>
      </c>
      <c r="M19" s="190">
        <f>세출!E138</f>
        <v>19941.342000000001</v>
      </c>
      <c r="N19" s="217">
        <f t="shared" ref="N19:N24" si="3">M19-L19</f>
        <v>-561.40799999999945</v>
      </c>
      <c r="O19" s="209">
        <f t="shared" si="2"/>
        <v>0.97261791710868062</v>
      </c>
    </row>
    <row r="20" spans="2:18" ht="17.45" customHeight="1">
      <c r="B20" s="175"/>
      <c r="C20" s="804"/>
      <c r="D20" s="169" t="s">
        <v>81</v>
      </c>
      <c r="E20" s="162">
        <f>세입!E46</f>
        <v>10500</v>
      </c>
      <c r="F20" s="159">
        <f>세입!F46</f>
        <v>13670</v>
      </c>
      <c r="G20" s="152">
        <f>세입!G46</f>
        <v>3170</v>
      </c>
      <c r="H20" s="146">
        <f t="shared" si="0"/>
        <v>1.3019047619047619</v>
      </c>
      <c r="I20" s="85"/>
      <c r="J20" s="183"/>
      <c r="K20" s="201" t="s">
        <v>65</v>
      </c>
      <c r="L20" s="190">
        <f>세출!D156</f>
        <v>1451.5350000000001</v>
      </c>
      <c r="M20" s="190">
        <f>세출!E156</f>
        <v>1547.4749999999999</v>
      </c>
      <c r="N20" s="217">
        <f t="shared" si="3"/>
        <v>95.939999999999827</v>
      </c>
      <c r="O20" s="209">
        <f t="shared" si="2"/>
        <v>1.0660955471276958</v>
      </c>
    </row>
    <row r="21" spans="2:18" ht="17.45" customHeight="1">
      <c r="B21" s="176"/>
      <c r="C21" s="805"/>
      <c r="D21" s="168" t="s">
        <v>135</v>
      </c>
      <c r="E21" s="163">
        <f>세입!E50</f>
        <v>71000</v>
      </c>
      <c r="F21" s="160">
        <f>세입!F50</f>
        <v>70110</v>
      </c>
      <c r="G21" s="155">
        <f>세입!G50</f>
        <v>-890</v>
      </c>
      <c r="H21" s="147">
        <f t="shared" si="0"/>
        <v>0.98746478873239441</v>
      </c>
      <c r="I21" s="85"/>
      <c r="J21" s="183"/>
      <c r="K21" s="201" t="s">
        <v>96</v>
      </c>
      <c r="L21" s="190">
        <f>세출!D166</f>
        <v>17189.356</v>
      </c>
      <c r="M21" s="190">
        <f>세출!E166</f>
        <v>12961.531999999999</v>
      </c>
      <c r="N21" s="217">
        <f t="shared" si="3"/>
        <v>-4227.8240000000005</v>
      </c>
      <c r="O21" s="209">
        <f t="shared" si="2"/>
        <v>0.75404407238991378</v>
      </c>
    </row>
    <row r="22" spans="2:18" ht="17.45" customHeight="1">
      <c r="B22" s="177" t="s">
        <v>47</v>
      </c>
      <c r="C22" s="173" t="s">
        <v>50</v>
      </c>
      <c r="D22" s="166"/>
      <c r="E22" s="164">
        <f>SUM(E23)</f>
        <v>30000</v>
      </c>
      <c r="F22" s="157">
        <f>SUM(F23)</f>
        <v>2.9000000000000001E-2</v>
      </c>
      <c r="G22" s="149">
        <f t="shared" si="1"/>
        <v>-29999.971000000001</v>
      </c>
      <c r="H22" s="142"/>
      <c r="I22" s="85"/>
      <c r="J22" s="183"/>
      <c r="K22" s="201" t="s">
        <v>91</v>
      </c>
      <c r="L22" s="190">
        <f>세출!D182</f>
        <v>4741.8100000000004</v>
      </c>
      <c r="M22" s="190">
        <f>세출!E182</f>
        <v>4220.04</v>
      </c>
      <c r="N22" s="217">
        <f t="shared" si="3"/>
        <v>-521.77000000000044</v>
      </c>
      <c r="O22" s="209">
        <f t="shared" si="2"/>
        <v>0.88996395891020508</v>
      </c>
    </row>
    <row r="23" spans="2:18" ht="17.45" customHeight="1">
      <c r="B23" s="175"/>
      <c r="C23" s="226" t="s">
        <v>47</v>
      </c>
      <c r="D23" s="167" t="s">
        <v>127</v>
      </c>
      <c r="E23" s="161">
        <f>SUM(E24)</f>
        <v>30000</v>
      </c>
      <c r="F23" s="158">
        <f>SUM(F24)</f>
        <v>2.9000000000000001E-2</v>
      </c>
      <c r="G23" s="150">
        <f>SUM(G24)</f>
        <v>-29999.971000000001</v>
      </c>
      <c r="H23" s="143">
        <f t="shared" ref="H23:H32" si="4">F23/E23</f>
        <v>9.666666666666668E-7</v>
      </c>
      <c r="I23" s="85"/>
      <c r="J23" s="183"/>
      <c r="K23" s="201" t="s">
        <v>59</v>
      </c>
      <c r="L23" s="190">
        <f>세출!D187</f>
        <v>2530</v>
      </c>
      <c r="M23" s="190">
        <f>세출!E187</f>
        <v>2115.09</v>
      </c>
      <c r="N23" s="217">
        <f t="shared" si="3"/>
        <v>-414.90999999999985</v>
      </c>
      <c r="O23" s="209">
        <f t="shared" si="2"/>
        <v>0.83600395256917004</v>
      </c>
    </row>
    <row r="24" spans="2:18" ht="17.45" customHeight="1">
      <c r="B24" s="176"/>
      <c r="C24" s="227"/>
      <c r="D24" s="168" t="s">
        <v>23</v>
      </c>
      <c r="E24" s="163">
        <f>세입!E56</f>
        <v>30000</v>
      </c>
      <c r="F24" s="160">
        <f>세입!F56</f>
        <v>2.9000000000000001E-2</v>
      </c>
      <c r="G24" s="153">
        <f>세입!G56</f>
        <v>-29999.971000000001</v>
      </c>
      <c r="H24" s="147">
        <f t="shared" si="4"/>
        <v>9.666666666666668E-7</v>
      </c>
      <c r="I24" s="85"/>
      <c r="J24" s="183"/>
      <c r="K24" s="201" t="s">
        <v>93</v>
      </c>
      <c r="L24" s="190">
        <f>세출!D192</f>
        <v>20205</v>
      </c>
      <c r="M24" s="190">
        <f>세출!E192</f>
        <v>24021.35</v>
      </c>
      <c r="N24" s="217">
        <f t="shared" si="3"/>
        <v>3816.3499999999985</v>
      </c>
      <c r="O24" s="209">
        <f t="shared" si="2"/>
        <v>1.1888814649839148</v>
      </c>
    </row>
    <row r="25" spans="2:18" ht="17.45" customHeight="1">
      <c r="B25" s="177" t="s">
        <v>49</v>
      </c>
      <c r="C25" s="173" t="s">
        <v>50</v>
      </c>
      <c r="D25" s="166"/>
      <c r="E25" s="164">
        <f>SUM(E26)</f>
        <v>22112.785</v>
      </c>
      <c r="F25" s="157">
        <f>SUM(F26)</f>
        <v>22112.785</v>
      </c>
      <c r="G25" s="149">
        <f>+F25-E25</f>
        <v>0</v>
      </c>
      <c r="H25" s="142">
        <f t="shared" si="4"/>
        <v>1</v>
      </c>
      <c r="I25" s="134" t="s">
        <v>83</v>
      </c>
      <c r="J25" s="185"/>
      <c r="K25" s="202" t="s">
        <v>50</v>
      </c>
      <c r="L25" s="191">
        <f>L26</f>
        <v>8540.67</v>
      </c>
      <c r="M25" s="191">
        <f>M26</f>
        <v>16566.97</v>
      </c>
      <c r="N25" s="191">
        <f>N26</f>
        <v>8026.2999999999993</v>
      </c>
      <c r="O25" s="210">
        <f t="shared" si="2"/>
        <v>1.9397740458301282</v>
      </c>
    </row>
    <row r="26" spans="2:18" ht="17.45" customHeight="1">
      <c r="B26" s="175"/>
      <c r="C26" s="226" t="s">
        <v>49</v>
      </c>
      <c r="D26" s="167" t="s">
        <v>127</v>
      </c>
      <c r="E26" s="161">
        <f>SUM(E27:E28)</f>
        <v>22112.785</v>
      </c>
      <c r="F26" s="158">
        <f>SUM(F27:F28)</f>
        <v>22112.785</v>
      </c>
      <c r="G26" s="154">
        <f>+F26-E26</f>
        <v>0</v>
      </c>
      <c r="H26" s="143">
        <f t="shared" si="4"/>
        <v>1</v>
      </c>
      <c r="I26" s="135"/>
      <c r="J26" s="181" t="s">
        <v>57</v>
      </c>
      <c r="K26" s="200" t="s">
        <v>127</v>
      </c>
      <c r="L26" s="189">
        <f>SUM(L27:L29)</f>
        <v>8540.67</v>
      </c>
      <c r="M26" s="189">
        <f>SUM(M27:M29)</f>
        <v>16566.97</v>
      </c>
      <c r="N26" s="189">
        <f>SUM(N27:N29)</f>
        <v>8026.2999999999993</v>
      </c>
      <c r="O26" s="208">
        <f t="shared" si="2"/>
        <v>1.9397740458301282</v>
      </c>
    </row>
    <row r="27" spans="2:18" ht="17.45" customHeight="1">
      <c r="B27" s="175"/>
      <c r="C27" s="225"/>
      <c r="D27" s="169" t="s">
        <v>150</v>
      </c>
      <c r="E27" s="162">
        <f>세입!E61</f>
        <v>12628.323</v>
      </c>
      <c r="F27" s="159">
        <f>세입!F61</f>
        <v>12628.323</v>
      </c>
      <c r="G27" s="152">
        <f>세입!G61</f>
        <v>0</v>
      </c>
      <c r="H27" s="144">
        <f t="shared" si="4"/>
        <v>1</v>
      </c>
      <c r="I27" s="135"/>
      <c r="J27" s="184"/>
      <c r="K27" s="203" t="s">
        <v>57</v>
      </c>
      <c r="L27" s="192">
        <f>세출!D201</f>
        <v>2043.67</v>
      </c>
      <c r="M27" s="192">
        <f>세출!E201</f>
        <v>1143.67</v>
      </c>
      <c r="N27" s="192">
        <f>M27-L27</f>
        <v>-900</v>
      </c>
      <c r="O27" s="211">
        <f t="shared" si="2"/>
        <v>0.55961578924190303</v>
      </c>
      <c r="R27" s="83"/>
    </row>
    <row r="28" spans="2:18" ht="17.45" customHeight="1">
      <c r="B28" s="176"/>
      <c r="C28" s="224"/>
      <c r="D28" s="168" t="s">
        <v>40</v>
      </c>
      <c r="E28" s="163">
        <f>세입!E67</f>
        <v>9484.4619999999995</v>
      </c>
      <c r="F28" s="160">
        <f>세입!F67</f>
        <v>9484.4619999999995</v>
      </c>
      <c r="G28" s="153">
        <f>세입!G67</f>
        <v>0</v>
      </c>
      <c r="H28" s="145">
        <f t="shared" si="4"/>
        <v>1</v>
      </c>
      <c r="I28" s="135"/>
      <c r="J28" s="184"/>
      <c r="K28" s="204" t="s">
        <v>92</v>
      </c>
      <c r="L28" s="193">
        <f>세출!D203</f>
        <v>2600</v>
      </c>
      <c r="M28" s="193">
        <f>세출!E203</f>
        <v>2284</v>
      </c>
      <c r="N28" s="193">
        <f>M28-L28</f>
        <v>-316</v>
      </c>
      <c r="O28" s="211">
        <f t="shared" si="2"/>
        <v>0.87846153846153852</v>
      </c>
    </row>
    <row r="29" spans="2:18" ht="17.45" customHeight="1">
      <c r="B29" s="177" t="s">
        <v>69</v>
      </c>
      <c r="C29" s="174" t="s">
        <v>50</v>
      </c>
      <c r="D29" s="170"/>
      <c r="E29" s="164">
        <f>SUM(E30)</f>
        <v>1261.42</v>
      </c>
      <c r="F29" s="157">
        <f>SUM(F30)</f>
        <v>1469.441</v>
      </c>
      <c r="G29" s="149">
        <f>+F29-E29</f>
        <v>208.02099999999996</v>
      </c>
      <c r="H29" s="142">
        <f t="shared" si="4"/>
        <v>1.1649101805901285</v>
      </c>
      <c r="I29" s="135"/>
      <c r="J29" s="183"/>
      <c r="K29" s="199" t="s">
        <v>106</v>
      </c>
      <c r="L29" s="194">
        <f>세출!D206</f>
        <v>3897</v>
      </c>
      <c r="M29" s="194">
        <f>세출!E206</f>
        <v>13139.3</v>
      </c>
      <c r="N29" s="218">
        <f>M29-L29</f>
        <v>9242.2999999999993</v>
      </c>
      <c r="O29" s="211">
        <f t="shared" si="2"/>
        <v>3.3716448550166791</v>
      </c>
    </row>
    <row r="30" spans="2:18" ht="17.45" customHeight="1">
      <c r="B30" s="178"/>
      <c r="C30" s="221" t="s">
        <v>69</v>
      </c>
      <c r="D30" s="167" t="s">
        <v>127</v>
      </c>
      <c r="E30" s="161">
        <f>SUM(E31:E32)</f>
        <v>1261.42</v>
      </c>
      <c r="F30" s="158">
        <f>SUM(F31:F32)</f>
        <v>1469.441</v>
      </c>
      <c r="G30" s="154">
        <f>+F30-E30</f>
        <v>208.02099999999996</v>
      </c>
      <c r="H30" s="143">
        <f t="shared" si="4"/>
        <v>1.1649101805901285</v>
      </c>
      <c r="I30" s="806" t="s">
        <v>70</v>
      </c>
      <c r="J30" s="185"/>
      <c r="K30" s="202" t="s">
        <v>50</v>
      </c>
      <c r="L30" s="191">
        <f>L31+L33+L35+L37+L39</f>
        <v>361954.56900000002</v>
      </c>
      <c r="M30" s="191">
        <f>M31+M33+M35+M37+M39</f>
        <v>332790.489</v>
      </c>
      <c r="N30" s="191">
        <f>N31+N33+N35+N37+N39</f>
        <v>-29164.080000000002</v>
      </c>
      <c r="O30" s="210">
        <f t="shared" ref="O30:O43" si="5">M30/L30</f>
        <v>0.91942613107337234</v>
      </c>
    </row>
    <row r="31" spans="2:18" ht="17.45" customHeight="1">
      <c r="B31" s="178"/>
      <c r="C31" s="222"/>
      <c r="D31" s="171" t="s">
        <v>42</v>
      </c>
      <c r="E31" s="162">
        <f>세입!E71</f>
        <v>0</v>
      </c>
      <c r="F31" s="159">
        <f>세입!F71</f>
        <v>0</v>
      </c>
      <c r="G31" s="152">
        <f>세입!G71</f>
        <v>0</v>
      </c>
      <c r="H31" s="144" t="e">
        <f t="shared" si="4"/>
        <v>#DIV/0!</v>
      </c>
      <c r="I31" s="807"/>
      <c r="J31" s="809" t="s">
        <v>70</v>
      </c>
      <c r="K31" s="200" t="s">
        <v>127</v>
      </c>
      <c r="L31" s="189">
        <f>SUM(L32)</f>
        <v>34868.449999999997</v>
      </c>
      <c r="M31" s="189">
        <f>M32</f>
        <v>39011.300000000003</v>
      </c>
      <c r="N31" s="189">
        <f>SUM(N32)</f>
        <v>4142.8500000000058</v>
      </c>
      <c r="O31" s="208">
        <f t="shared" si="5"/>
        <v>1.1188137126829556</v>
      </c>
    </row>
    <row r="32" spans="2:18" ht="17.45" customHeight="1" thickBot="1">
      <c r="B32" s="179"/>
      <c r="C32" s="223"/>
      <c r="D32" s="172" t="s">
        <v>148</v>
      </c>
      <c r="E32" s="165">
        <f>세입!E80</f>
        <v>1261.42</v>
      </c>
      <c r="F32" s="228">
        <f>세입!F80</f>
        <v>1469.441</v>
      </c>
      <c r="G32" s="156">
        <f>+F32-E32</f>
        <v>208.02099999999996</v>
      </c>
      <c r="H32" s="148">
        <f t="shared" si="4"/>
        <v>1.1649101805901285</v>
      </c>
      <c r="I32" s="807"/>
      <c r="J32" s="810"/>
      <c r="K32" s="199" t="s">
        <v>98</v>
      </c>
      <c r="L32" s="194">
        <f>세출!D212</f>
        <v>34868.449999999997</v>
      </c>
      <c r="M32" s="194">
        <f>세출!E212</f>
        <v>39011.300000000003</v>
      </c>
      <c r="N32" s="218">
        <f>M32-L32</f>
        <v>4142.8500000000058</v>
      </c>
      <c r="O32" s="212">
        <f t="shared" si="5"/>
        <v>1.1188137126829556</v>
      </c>
    </row>
    <row r="33" spans="2:15" ht="17.45" customHeight="1">
      <c r="B33" s="8"/>
      <c r="C33" s="8"/>
      <c r="D33" s="8"/>
      <c r="E33" s="7"/>
      <c r="F33" s="8"/>
      <c r="G33" s="7"/>
      <c r="H33" s="7"/>
      <c r="I33" s="807"/>
      <c r="J33" s="810"/>
      <c r="K33" s="200" t="s">
        <v>127</v>
      </c>
      <c r="L33" s="189">
        <f>SUM(L34)</f>
        <v>59240.08</v>
      </c>
      <c r="M33" s="189">
        <f>M34</f>
        <v>62574.36</v>
      </c>
      <c r="N33" s="189">
        <f>N34</f>
        <v>3334.2799999999988</v>
      </c>
      <c r="O33" s="208">
        <f t="shared" si="5"/>
        <v>1.0562841913785397</v>
      </c>
    </row>
    <row r="34" spans="2:15" ht="17.45" customHeight="1">
      <c r="B34" s="8"/>
      <c r="C34" s="8"/>
      <c r="D34" s="8"/>
      <c r="E34" s="7"/>
      <c r="F34" s="8"/>
      <c r="G34" s="7"/>
      <c r="H34" s="7"/>
      <c r="I34" s="807"/>
      <c r="J34" s="810"/>
      <c r="K34" s="199" t="s">
        <v>86</v>
      </c>
      <c r="L34" s="194">
        <f>세출!D221</f>
        <v>59240.08</v>
      </c>
      <c r="M34" s="194">
        <f>세출!E221</f>
        <v>62574.36</v>
      </c>
      <c r="N34" s="218">
        <f>M34-L34</f>
        <v>3334.2799999999988</v>
      </c>
      <c r="O34" s="212">
        <f t="shared" si="5"/>
        <v>1.0562841913785397</v>
      </c>
    </row>
    <row r="35" spans="2:15" ht="17.45" customHeight="1">
      <c r="B35" s="8"/>
      <c r="C35" s="8"/>
      <c r="D35" s="8"/>
      <c r="E35" s="7"/>
      <c r="F35" s="8"/>
      <c r="G35" s="7"/>
      <c r="H35" s="7"/>
      <c r="I35" s="807"/>
      <c r="J35" s="810"/>
      <c r="K35" s="200" t="s">
        <v>127</v>
      </c>
      <c r="L35" s="189">
        <f>SUM(L36)</f>
        <v>82176.259999999995</v>
      </c>
      <c r="M35" s="189">
        <f>M36</f>
        <v>70821.828999999998</v>
      </c>
      <c r="N35" s="189">
        <f>N36</f>
        <v>-11354.430999999997</v>
      </c>
      <c r="O35" s="208">
        <f t="shared" si="5"/>
        <v>0.86182833095592326</v>
      </c>
    </row>
    <row r="36" spans="2:15" ht="17.45" customHeight="1">
      <c r="B36" s="8"/>
      <c r="C36" s="8"/>
      <c r="D36" s="8"/>
      <c r="E36" s="7"/>
      <c r="F36" s="8"/>
      <c r="G36" s="7"/>
      <c r="H36" s="7"/>
      <c r="I36" s="807"/>
      <c r="J36" s="810"/>
      <c r="K36" s="199" t="s">
        <v>94</v>
      </c>
      <c r="L36" s="194">
        <f>세출!D243</f>
        <v>82176.259999999995</v>
      </c>
      <c r="M36" s="194">
        <f>세출!E243</f>
        <v>70821.828999999998</v>
      </c>
      <c r="N36" s="218">
        <f>M36-L36</f>
        <v>-11354.430999999997</v>
      </c>
      <c r="O36" s="212">
        <f t="shared" si="5"/>
        <v>0.86182833095592326</v>
      </c>
    </row>
    <row r="37" spans="2:15" ht="17.45" customHeight="1">
      <c r="B37" s="8"/>
      <c r="C37" s="8"/>
      <c r="D37" s="8"/>
      <c r="E37" s="7"/>
      <c r="F37" s="8"/>
      <c r="G37" s="7"/>
      <c r="H37" s="7"/>
      <c r="I37" s="807"/>
      <c r="J37" s="810"/>
      <c r="K37" s="200" t="s">
        <v>127</v>
      </c>
      <c r="L37" s="189">
        <f>SUM(L38)</f>
        <v>159144.77900000001</v>
      </c>
      <c r="M37" s="189">
        <f>M38</f>
        <v>133858</v>
      </c>
      <c r="N37" s="189">
        <f>N38</f>
        <v>-25286.77900000001</v>
      </c>
      <c r="O37" s="208">
        <f t="shared" si="5"/>
        <v>0.84110833444306699</v>
      </c>
    </row>
    <row r="38" spans="2:15" ht="21" customHeight="1">
      <c r="B38" s="8"/>
      <c r="C38" s="8"/>
      <c r="D38" s="8"/>
      <c r="E38" s="7"/>
      <c r="F38" s="105"/>
      <c r="G38" s="7"/>
      <c r="H38" s="7"/>
      <c r="I38" s="807"/>
      <c r="J38" s="810"/>
      <c r="K38" s="199" t="s">
        <v>167</v>
      </c>
      <c r="L38" s="194">
        <f>세출!D254</f>
        <v>159144.77900000001</v>
      </c>
      <c r="M38" s="194">
        <f>세출!E254</f>
        <v>133858</v>
      </c>
      <c r="N38" s="218">
        <f>M38-L38</f>
        <v>-25286.77900000001</v>
      </c>
      <c r="O38" s="212">
        <f t="shared" si="5"/>
        <v>0.84110833444306699</v>
      </c>
    </row>
    <row r="39" spans="2:15" ht="21" customHeight="1">
      <c r="B39" s="8"/>
      <c r="C39" s="8"/>
      <c r="D39" s="8"/>
      <c r="E39" s="7"/>
      <c r="F39" s="803"/>
      <c r="G39" s="7"/>
      <c r="H39" s="7"/>
      <c r="I39" s="807"/>
      <c r="J39" s="810"/>
      <c r="K39" s="200" t="s">
        <v>127</v>
      </c>
      <c r="L39" s="189">
        <f>L40</f>
        <v>26525</v>
      </c>
      <c r="M39" s="189">
        <f>M40</f>
        <v>26525</v>
      </c>
      <c r="N39" s="219">
        <f>N40</f>
        <v>0</v>
      </c>
      <c r="O39" s="213">
        <f t="shared" si="5"/>
        <v>1</v>
      </c>
    </row>
    <row r="40" spans="2:15" ht="21" customHeight="1" thickBot="1">
      <c r="B40" s="8"/>
      <c r="C40" s="8"/>
      <c r="D40" s="8"/>
      <c r="E40" s="7"/>
      <c r="F40" s="803"/>
      <c r="G40" s="7"/>
      <c r="H40" s="7"/>
      <c r="I40" s="808"/>
      <c r="J40" s="811"/>
      <c r="K40" s="205" t="str">
        <f>세출!C282</f>
        <v>일학습 사업</v>
      </c>
      <c r="L40" s="195">
        <f>세출!D282</f>
        <v>26525</v>
      </c>
      <c r="M40" s="207">
        <f>세출!E282</f>
        <v>26525</v>
      </c>
      <c r="N40" s="220">
        <f>M40-L40</f>
        <v>0</v>
      </c>
      <c r="O40" s="148">
        <f t="shared" si="5"/>
        <v>1</v>
      </c>
    </row>
    <row r="41" spans="2:15" ht="17.45" customHeight="1">
      <c r="B41" s="8"/>
      <c r="C41" s="8"/>
      <c r="D41" s="8"/>
      <c r="E41" s="7"/>
      <c r="F41" s="803"/>
      <c r="G41" s="7"/>
      <c r="H41" s="7"/>
      <c r="I41" s="135" t="s">
        <v>32</v>
      </c>
      <c r="J41" s="180"/>
      <c r="K41" s="180" t="s">
        <v>50</v>
      </c>
      <c r="L41" s="196">
        <f t="shared" ref="L41:N42" si="6">L42</f>
        <v>492.529</v>
      </c>
      <c r="M41" s="196">
        <f t="shared" si="6"/>
        <v>6282.5290000000005</v>
      </c>
      <c r="N41" s="196">
        <f t="shared" si="6"/>
        <v>5790</v>
      </c>
      <c r="O41" s="214">
        <f t="shared" si="5"/>
        <v>12.755652966627347</v>
      </c>
    </row>
    <row r="42" spans="2:15" ht="17.45" customHeight="1">
      <c r="B42" s="8"/>
      <c r="C42" s="8"/>
      <c r="D42" s="8"/>
      <c r="E42" s="7"/>
      <c r="F42" s="803"/>
      <c r="G42" s="7"/>
      <c r="H42" s="7"/>
      <c r="I42" s="135"/>
      <c r="J42" s="181" t="s">
        <v>32</v>
      </c>
      <c r="K42" s="200" t="s">
        <v>127</v>
      </c>
      <c r="L42" s="189">
        <f t="shared" si="6"/>
        <v>492.529</v>
      </c>
      <c r="M42" s="189">
        <f t="shared" si="6"/>
        <v>6282.5290000000005</v>
      </c>
      <c r="N42" s="219">
        <f t="shared" si="6"/>
        <v>5790</v>
      </c>
      <c r="O42" s="213">
        <f t="shared" si="5"/>
        <v>12.755652966627347</v>
      </c>
    </row>
    <row r="43" spans="2:15" ht="18" customHeight="1" thickBot="1">
      <c r="B43" s="8"/>
      <c r="C43" s="8"/>
      <c r="D43" s="8"/>
      <c r="E43" s="7"/>
      <c r="F43" s="803"/>
      <c r="G43" s="7"/>
      <c r="H43" s="7"/>
      <c r="I43" s="136"/>
      <c r="J43" s="182"/>
      <c r="K43" s="205" t="s">
        <v>64</v>
      </c>
      <c r="L43" s="195">
        <f>세출!D289</f>
        <v>492.529</v>
      </c>
      <c r="M43" s="207">
        <f>세출!E289</f>
        <v>6282.5290000000005</v>
      </c>
      <c r="N43" s="220">
        <f>M43-L43</f>
        <v>5790</v>
      </c>
      <c r="O43" s="148">
        <f t="shared" si="5"/>
        <v>12.755652966627347</v>
      </c>
    </row>
    <row r="44" spans="2:15" ht="17.45" customHeight="1">
      <c r="B44" s="8"/>
      <c r="C44" s="8"/>
      <c r="D44" s="8"/>
      <c r="E44" s="7"/>
      <c r="F44" s="803"/>
      <c r="G44" s="7"/>
      <c r="H44" s="7"/>
      <c r="I44" s="4"/>
      <c r="J44" s="4"/>
      <c r="K44" s="4"/>
      <c r="L44" s="5"/>
      <c r="M44" s="4"/>
      <c r="N44" s="4"/>
      <c r="O44" s="4"/>
    </row>
    <row r="45" spans="2:15" ht="17.45" customHeight="1">
      <c r="B45" s="8"/>
      <c r="C45" s="8"/>
      <c r="D45" s="8"/>
      <c r="E45" s="7"/>
      <c r="F45" s="803"/>
      <c r="G45" s="7"/>
      <c r="H45" s="7"/>
      <c r="I45" s="9"/>
      <c r="J45" s="8"/>
      <c r="K45" s="8"/>
      <c r="L45" s="4"/>
      <c r="M45" s="5"/>
      <c r="N45" s="4"/>
      <c r="O45" s="4"/>
    </row>
    <row r="46" spans="2:15" ht="17.45" customHeight="1">
      <c r="B46" s="8"/>
      <c r="C46" s="8"/>
      <c r="D46" s="8"/>
      <c r="E46" s="7"/>
      <c r="F46" s="803"/>
      <c r="G46" s="7"/>
      <c r="H46" s="7"/>
      <c r="I46" s="9"/>
      <c r="J46" s="4"/>
      <c r="K46" s="4"/>
      <c r="L46" s="5"/>
      <c r="M46" s="4"/>
      <c r="N46" s="4"/>
      <c r="O46" s="4"/>
    </row>
    <row r="47" spans="2:15" ht="17.45" customHeight="1">
      <c r="B47" s="8"/>
      <c r="C47" s="8"/>
      <c r="D47" s="8"/>
      <c r="E47" s="7"/>
      <c r="F47" s="803"/>
      <c r="G47" s="7"/>
      <c r="H47" s="7"/>
      <c r="I47" s="9"/>
      <c r="J47" s="4"/>
      <c r="K47" s="4"/>
      <c r="L47" s="5"/>
      <c r="M47" s="4"/>
    </row>
    <row r="48" spans="2:15" ht="17.45" customHeight="1">
      <c r="B48" s="8"/>
      <c r="C48" s="8"/>
      <c r="D48" s="8"/>
      <c r="E48" s="7"/>
      <c r="F48" s="803"/>
      <c r="G48" s="7"/>
      <c r="H48" s="7"/>
      <c r="I48" s="4"/>
      <c r="J48" s="4"/>
      <c r="K48" s="4"/>
      <c r="L48" s="5"/>
      <c r="M48" s="4"/>
    </row>
    <row r="49" spans="2:13" ht="17.45" customHeight="1">
      <c r="B49" s="4"/>
      <c r="C49" s="4"/>
      <c r="D49" s="4"/>
      <c r="E49" s="6"/>
      <c r="F49" s="803"/>
      <c r="G49" s="6"/>
      <c r="H49" s="6"/>
      <c r="I49" s="4"/>
      <c r="J49" s="4"/>
      <c r="K49" s="4"/>
      <c r="L49" s="5"/>
      <c r="M49" s="4"/>
    </row>
    <row r="50" spans="2:13" ht="17.45" customHeight="1">
      <c r="B50" s="4"/>
      <c r="C50" s="4"/>
      <c r="D50" s="4"/>
      <c r="E50" s="6"/>
      <c r="F50" s="803"/>
      <c r="G50" s="6"/>
      <c r="H50" s="6"/>
      <c r="I50" s="4"/>
      <c r="J50" s="4"/>
      <c r="K50" s="4"/>
      <c r="L50" s="5"/>
      <c r="M50" s="4"/>
    </row>
    <row r="51" spans="2:13" ht="17.45" customHeight="1">
      <c r="B51" s="4"/>
      <c r="C51" s="4"/>
      <c r="D51" s="4"/>
      <c r="E51" s="6"/>
      <c r="F51" s="803"/>
      <c r="G51" s="6"/>
      <c r="H51" s="6"/>
      <c r="I51" s="4"/>
      <c r="J51" s="4"/>
      <c r="K51" s="4"/>
      <c r="L51" s="5"/>
      <c r="M51" s="4"/>
    </row>
    <row r="52" spans="2:13" ht="17.45" customHeight="1">
      <c r="B52" s="4"/>
      <c r="C52" s="4"/>
      <c r="D52" s="4"/>
      <c r="E52" s="6"/>
      <c r="F52" s="803"/>
      <c r="G52" s="6"/>
      <c r="H52" s="6"/>
      <c r="I52" s="4"/>
      <c r="J52" s="4"/>
      <c r="K52" s="4"/>
      <c r="L52" s="5"/>
      <c r="M52" s="4"/>
    </row>
    <row r="53" spans="2:13" ht="17.45" customHeight="1">
      <c r="B53" s="4"/>
      <c r="C53" s="4"/>
      <c r="D53" s="4"/>
      <c r="E53" s="6"/>
      <c r="F53" s="803"/>
      <c r="G53" s="6"/>
      <c r="H53" s="6"/>
      <c r="I53" s="4"/>
      <c r="J53" s="4"/>
      <c r="K53" s="4"/>
      <c r="L53" s="5"/>
      <c r="M53" s="4"/>
    </row>
    <row r="54" spans="2:13" ht="17.45" customHeight="1">
      <c r="B54" s="4"/>
      <c r="C54" s="4"/>
      <c r="D54" s="4"/>
      <c r="E54" s="6"/>
      <c r="F54" s="803"/>
      <c r="G54" s="6"/>
      <c r="H54" s="6"/>
      <c r="I54" s="4"/>
      <c r="J54" s="4"/>
      <c r="K54" s="4"/>
      <c r="L54" s="5"/>
      <c r="M54" s="4"/>
    </row>
    <row r="55" spans="2:13" ht="17.45" customHeight="1">
      <c r="B55" s="4"/>
      <c r="C55" s="4"/>
      <c r="D55" s="4"/>
      <c r="E55" s="6"/>
      <c r="F55" s="803"/>
      <c r="G55" s="6"/>
      <c r="H55" s="6"/>
      <c r="I55" s="4"/>
      <c r="J55" s="4"/>
      <c r="K55" s="4"/>
      <c r="L55" s="5"/>
      <c r="M55" s="4"/>
    </row>
    <row r="56" spans="2:13" ht="17.45" customHeight="1">
      <c r="B56" s="4"/>
      <c r="C56" s="4"/>
      <c r="D56" s="4"/>
      <c r="E56" s="6"/>
      <c r="F56" s="803"/>
      <c r="G56" s="6"/>
      <c r="H56" s="6"/>
      <c r="I56" s="4"/>
      <c r="J56" s="4"/>
      <c r="K56" s="4"/>
      <c r="L56" s="5"/>
      <c r="M56" s="4"/>
    </row>
    <row r="57" spans="2:13" ht="17.45" customHeight="1">
      <c r="B57" s="4"/>
      <c r="C57" s="4"/>
      <c r="D57" s="4"/>
      <c r="E57" s="6"/>
      <c r="F57" s="803"/>
      <c r="G57" s="6"/>
      <c r="H57" s="6"/>
      <c r="I57" s="4"/>
      <c r="J57" s="4"/>
      <c r="K57" s="4"/>
      <c r="L57" s="5"/>
      <c r="M57" s="4"/>
    </row>
    <row r="58" spans="2:13" ht="17.45" customHeight="1">
      <c r="B58" s="4"/>
      <c r="C58" s="4"/>
      <c r="D58" s="4"/>
      <c r="E58" s="6"/>
      <c r="F58" s="803"/>
      <c r="G58" s="6"/>
      <c r="H58" s="6"/>
      <c r="I58" s="4"/>
      <c r="J58" s="4"/>
      <c r="K58" s="4"/>
      <c r="L58" s="5"/>
      <c r="M58" s="4"/>
    </row>
    <row r="59" spans="2:13" ht="17.45" customHeight="1">
      <c r="B59" s="4"/>
      <c r="C59" s="4"/>
      <c r="D59" s="4"/>
      <c r="E59" s="6"/>
      <c r="F59" s="803"/>
      <c r="G59" s="6"/>
      <c r="H59" s="6"/>
      <c r="I59" s="4"/>
      <c r="J59" s="4"/>
      <c r="K59" s="4"/>
      <c r="L59" s="5"/>
      <c r="M59" s="4"/>
    </row>
    <row r="60" spans="2:13" ht="17.45" customHeight="1">
      <c r="B60" s="4"/>
      <c r="C60" s="4"/>
      <c r="D60" s="4"/>
      <c r="E60" s="6"/>
      <c r="F60" s="803"/>
      <c r="G60" s="6"/>
      <c r="H60" s="6"/>
      <c r="I60" s="4"/>
      <c r="J60" s="4"/>
      <c r="K60" s="4"/>
      <c r="L60" s="5"/>
      <c r="M60" s="4"/>
    </row>
    <row r="61" spans="2:13" ht="17.45" customHeight="1">
      <c r="B61" s="4"/>
      <c r="C61" s="4"/>
      <c r="D61" s="4"/>
      <c r="E61" s="6"/>
      <c r="F61" s="803"/>
      <c r="G61" s="6"/>
      <c r="H61" s="6"/>
      <c r="I61" s="4"/>
      <c r="J61" s="4"/>
      <c r="K61" s="4"/>
      <c r="L61" s="5"/>
      <c r="M61" s="4"/>
    </row>
    <row r="62" spans="2:13" ht="17.45" customHeight="1">
      <c r="B62" s="4"/>
      <c r="C62" s="4"/>
      <c r="D62" s="4"/>
      <c r="E62" s="6"/>
      <c r="F62" s="803"/>
      <c r="G62" s="6"/>
      <c r="H62" s="6"/>
      <c r="I62" s="4"/>
      <c r="J62" s="4"/>
      <c r="K62" s="4"/>
      <c r="L62" s="5"/>
      <c r="M62" s="4"/>
    </row>
    <row r="63" spans="2:13" ht="17.45" customHeight="1">
      <c r="B63" s="4"/>
      <c r="C63" s="4"/>
      <c r="D63" s="4"/>
      <c r="E63" s="6"/>
      <c r="F63" s="803"/>
      <c r="G63" s="6"/>
      <c r="H63" s="6"/>
      <c r="I63" s="4"/>
      <c r="J63" s="4"/>
      <c r="K63" s="4"/>
      <c r="L63" s="5"/>
      <c r="M63" s="4"/>
    </row>
    <row r="64" spans="2:13" ht="17.45" customHeight="1">
      <c r="B64" s="4"/>
      <c r="C64" s="4"/>
      <c r="D64" s="4"/>
      <c r="E64" s="6"/>
      <c r="F64" s="803"/>
      <c r="G64" s="6"/>
      <c r="H64" s="6"/>
      <c r="I64" s="4"/>
      <c r="J64" s="4"/>
      <c r="K64" s="4"/>
      <c r="L64" s="5"/>
      <c r="M64" s="4"/>
    </row>
    <row r="65" spans="2:13" ht="17.45" customHeight="1">
      <c r="B65" s="4"/>
      <c r="C65" s="4"/>
      <c r="D65" s="4"/>
      <c r="E65" s="6"/>
      <c r="F65" s="803"/>
      <c r="G65" s="6"/>
      <c r="H65" s="6"/>
      <c r="I65" s="4"/>
      <c r="J65" s="4"/>
      <c r="K65" s="4"/>
      <c r="L65" s="5"/>
      <c r="M65" s="4"/>
    </row>
    <row r="66" spans="2:13" ht="17.45" customHeight="1">
      <c r="B66" s="4"/>
      <c r="C66" s="4"/>
      <c r="D66" s="4"/>
      <c r="E66" s="6"/>
      <c r="F66" s="803"/>
      <c r="G66" s="6"/>
      <c r="H66" s="6"/>
      <c r="I66" s="4"/>
      <c r="J66" s="4"/>
      <c r="K66" s="4"/>
      <c r="L66" s="5"/>
      <c r="M66" s="4"/>
    </row>
    <row r="67" spans="2:13" ht="17.45" customHeight="1">
      <c r="B67" s="4"/>
      <c r="C67" s="4"/>
      <c r="D67" s="4"/>
      <c r="E67" s="6"/>
      <c r="F67" s="803"/>
      <c r="G67" s="6"/>
      <c r="H67" s="6"/>
      <c r="I67" s="4"/>
      <c r="J67" s="4"/>
      <c r="K67" s="4"/>
      <c r="L67" s="5"/>
      <c r="M67" s="4"/>
    </row>
    <row r="68" spans="2:13" ht="17.45" customHeight="1">
      <c r="B68" s="4"/>
      <c r="C68" s="4"/>
      <c r="D68" s="4"/>
      <c r="E68" s="6"/>
      <c r="F68" s="803"/>
      <c r="G68" s="6"/>
      <c r="H68" s="6"/>
      <c r="I68" s="4"/>
      <c r="J68" s="4"/>
      <c r="K68" s="4"/>
      <c r="L68" s="5"/>
      <c r="M68" s="4"/>
    </row>
    <row r="69" spans="2:13" ht="17.45" customHeight="1">
      <c r="B69" s="4"/>
      <c r="C69" s="4"/>
      <c r="D69" s="4"/>
      <c r="E69" s="6"/>
      <c r="F69" s="803"/>
      <c r="G69" s="6"/>
      <c r="H69" s="6"/>
      <c r="I69" s="4"/>
      <c r="J69" s="4"/>
      <c r="K69" s="4"/>
      <c r="L69" s="5"/>
      <c r="M69" s="4"/>
    </row>
    <row r="70" spans="2:13" ht="17.45" customHeight="1">
      <c r="B70" s="4"/>
      <c r="C70" s="4"/>
      <c r="D70" s="4"/>
      <c r="E70" s="6"/>
      <c r="F70" s="4"/>
      <c r="G70" s="6"/>
      <c r="H70" s="6"/>
      <c r="I70" s="4"/>
      <c r="J70" s="4"/>
      <c r="K70" s="4"/>
      <c r="L70" s="5"/>
      <c r="M70" s="4"/>
    </row>
    <row r="71" spans="2:13" ht="17.45" customHeight="1">
      <c r="B71" s="4"/>
      <c r="C71" s="4"/>
      <c r="D71" s="4"/>
      <c r="E71" s="6"/>
      <c r="F71" s="4"/>
      <c r="G71" s="6"/>
      <c r="H71" s="6"/>
      <c r="I71" s="4"/>
      <c r="J71" s="4"/>
      <c r="K71" s="4"/>
      <c r="L71" s="5"/>
      <c r="M71" s="4"/>
    </row>
    <row r="72" spans="2:13" ht="17.45" customHeight="1">
      <c r="B72" s="4"/>
      <c r="C72" s="4"/>
      <c r="D72" s="4"/>
      <c r="E72" s="6"/>
      <c r="F72" s="4"/>
      <c r="G72" s="6"/>
      <c r="H72" s="6"/>
      <c r="I72" s="4"/>
      <c r="J72" s="4"/>
      <c r="K72" s="4"/>
      <c r="L72" s="5"/>
      <c r="M72" s="4"/>
    </row>
    <row r="73" spans="2:13" ht="17.45" customHeight="1">
      <c r="B73" s="4"/>
      <c r="C73" s="4"/>
      <c r="D73" s="4"/>
      <c r="E73" s="6"/>
      <c r="F73" s="4"/>
      <c r="G73" s="6"/>
      <c r="H73" s="6"/>
      <c r="I73" s="4"/>
      <c r="J73" s="4"/>
      <c r="K73" s="4"/>
      <c r="L73" s="5"/>
      <c r="M73" s="4"/>
    </row>
    <row r="74" spans="2:13" ht="17.45" customHeight="1">
      <c r="B74" s="4"/>
      <c r="C74" s="4"/>
      <c r="D74" s="4"/>
      <c r="E74" s="6"/>
      <c r="F74" s="4"/>
      <c r="G74" s="6"/>
      <c r="H74" s="6"/>
      <c r="I74" s="4"/>
      <c r="J74" s="4"/>
      <c r="K74" s="4"/>
      <c r="L74" s="5"/>
      <c r="M74" s="4"/>
    </row>
    <row r="75" spans="2:13" ht="17.45" customHeight="1">
      <c r="B75" s="4"/>
      <c r="C75" s="4"/>
      <c r="D75" s="4"/>
      <c r="E75" s="6"/>
      <c r="F75" s="4"/>
      <c r="G75" s="6"/>
      <c r="H75" s="6"/>
      <c r="I75" s="4"/>
      <c r="J75" s="4"/>
      <c r="K75" s="4"/>
      <c r="L75" s="5"/>
      <c r="M75" s="4"/>
    </row>
    <row r="76" spans="2:13" ht="17.45" customHeight="1">
      <c r="B76" s="4"/>
      <c r="C76" s="4"/>
      <c r="D76" s="4"/>
      <c r="E76" s="6"/>
      <c r="F76" s="4"/>
      <c r="G76" s="6"/>
      <c r="H76" s="6"/>
      <c r="I76" s="4"/>
      <c r="J76" s="4"/>
      <c r="K76" s="4"/>
      <c r="L76" s="5"/>
      <c r="M76" s="4"/>
    </row>
    <row r="77" spans="2:13" ht="17.45" customHeight="1">
      <c r="B77" s="4"/>
      <c r="C77" s="4"/>
      <c r="D77" s="4"/>
      <c r="E77" s="6"/>
      <c r="F77" s="4"/>
      <c r="G77" s="6"/>
      <c r="H77" s="6"/>
      <c r="I77" s="4"/>
      <c r="J77" s="4"/>
      <c r="K77" s="4"/>
      <c r="L77" s="5"/>
      <c r="M77" s="4"/>
    </row>
    <row r="78" spans="2:13" ht="17.45" customHeight="1">
      <c r="B78" s="4"/>
      <c r="C78" s="4"/>
      <c r="D78" s="4"/>
      <c r="E78" s="6"/>
      <c r="F78" s="4"/>
      <c r="G78" s="6"/>
      <c r="H78" s="6"/>
      <c r="I78" s="4"/>
      <c r="J78" s="4"/>
      <c r="K78" s="4"/>
      <c r="L78" s="5"/>
      <c r="M78" s="4"/>
    </row>
    <row r="79" spans="2:13" ht="17.45" customHeight="1">
      <c r="B79" s="4"/>
      <c r="C79" s="4"/>
      <c r="D79" s="4"/>
      <c r="E79" s="6"/>
      <c r="F79" s="4"/>
      <c r="G79" s="6"/>
      <c r="H79" s="6"/>
      <c r="I79" s="4"/>
      <c r="J79" s="4"/>
      <c r="K79" s="4"/>
      <c r="L79" s="5"/>
      <c r="M79" s="4"/>
    </row>
    <row r="80" spans="2:13" ht="17.45" customHeight="1">
      <c r="B80" s="4"/>
      <c r="C80" s="4"/>
      <c r="D80" s="4"/>
      <c r="E80" s="6"/>
      <c r="F80" s="4"/>
      <c r="G80" s="6"/>
      <c r="H80" s="6"/>
      <c r="I80" s="4"/>
      <c r="J80" s="4"/>
      <c r="K80" s="4"/>
      <c r="L80" s="5"/>
      <c r="M80" s="4"/>
    </row>
    <row r="81" spans="2:13" ht="17.45" customHeight="1">
      <c r="B81" s="4"/>
      <c r="C81" s="4"/>
      <c r="D81" s="4"/>
      <c r="E81" s="6"/>
      <c r="F81" s="4"/>
      <c r="G81" s="6"/>
      <c r="H81" s="6"/>
      <c r="I81" s="4"/>
      <c r="J81" s="4"/>
      <c r="K81" s="4"/>
      <c r="L81" s="5"/>
      <c r="M81" s="4"/>
    </row>
    <row r="82" spans="2:13" ht="17.45" customHeight="1">
      <c r="B82" s="4"/>
      <c r="C82" s="4"/>
      <c r="D82" s="4"/>
      <c r="E82" s="6"/>
      <c r="F82" s="4"/>
      <c r="G82" s="6"/>
      <c r="H82" s="6"/>
      <c r="I82" s="4"/>
      <c r="J82" s="4"/>
      <c r="K82" s="4"/>
      <c r="L82" s="5"/>
      <c r="M82" s="4"/>
    </row>
    <row r="83" spans="2:13" ht="17.45" customHeight="1">
      <c r="B83" s="4"/>
      <c r="C83" s="4"/>
      <c r="D83" s="4"/>
      <c r="E83" s="6"/>
      <c r="F83" s="4"/>
      <c r="G83" s="6"/>
      <c r="H83" s="6"/>
      <c r="I83" s="4"/>
      <c r="J83" s="4"/>
      <c r="K83" s="4"/>
      <c r="L83" s="5"/>
      <c r="M83" s="4"/>
    </row>
    <row r="84" spans="2:13" ht="17.45" customHeight="1">
      <c r="B84" s="4"/>
      <c r="C84" s="4"/>
      <c r="D84" s="4"/>
      <c r="E84" s="6"/>
      <c r="F84" s="4"/>
      <c r="G84" s="6"/>
      <c r="H84" s="6"/>
      <c r="I84" s="4"/>
      <c r="J84" s="4"/>
      <c r="K84" s="4"/>
      <c r="L84" s="5"/>
      <c r="M84" s="4"/>
    </row>
    <row r="85" spans="2:13" ht="17.45" customHeight="1">
      <c r="B85" s="4"/>
      <c r="C85" s="4"/>
      <c r="D85" s="4"/>
      <c r="E85" s="6"/>
      <c r="F85" s="4"/>
      <c r="G85" s="6"/>
      <c r="H85" s="6"/>
      <c r="I85" s="4"/>
      <c r="J85" s="4"/>
      <c r="K85" s="4"/>
      <c r="L85" s="5"/>
      <c r="M85" s="4"/>
    </row>
    <row r="86" spans="2:13" ht="17.45" customHeight="1">
      <c r="B86" s="4"/>
      <c r="C86" s="4"/>
      <c r="D86" s="4"/>
      <c r="E86" s="6"/>
      <c r="F86" s="4"/>
      <c r="G86" s="6"/>
      <c r="H86" s="6"/>
      <c r="I86" s="4"/>
      <c r="J86" s="4"/>
      <c r="K86" s="4"/>
      <c r="L86" s="5"/>
      <c r="M86" s="4"/>
    </row>
    <row r="87" spans="2:13" ht="17.45" customHeight="1">
      <c r="B87" s="4"/>
      <c r="C87" s="4"/>
      <c r="D87" s="4"/>
      <c r="E87" s="6"/>
      <c r="F87" s="4"/>
      <c r="G87" s="6"/>
      <c r="H87" s="6"/>
      <c r="I87" s="4"/>
      <c r="J87" s="4"/>
      <c r="K87" s="4"/>
      <c r="L87" s="5"/>
      <c r="M87" s="4"/>
    </row>
    <row r="88" spans="2:13" ht="17.45" customHeight="1">
      <c r="B88" s="4"/>
      <c r="C88" s="4"/>
      <c r="D88" s="4"/>
      <c r="E88" s="6"/>
      <c r="F88" s="4"/>
      <c r="G88" s="6"/>
      <c r="H88" s="6"/>
      <c r="I88" s="4"/>
      <c r="J88" s="4"/>
      <c r="K88" s="4"/>
      <c r="L88" s="5"/>
      <c r="M88" s="4"/>
    </row>
    <row r="89" spans="2:13" ht="17.45" customHeight="1">
      <c r="B89" s="4"/>
      <c r="C89" s="4"/>
      <c r="D89" s="4"/>
      <c r="E89" s="6"/>
      <c r="F89" s="4"/>
      <c r="G89" s="6"/>
      <c r="H89" s="6"/>
      <c r="I89" s="4"/>
      <c r="J89" s="4"/>
      <c r="K89" s="4"/>
      <c r="L89" s="5"/>
      <c r="M89" s="4"/>
    </row>
    <row r="90" spans="2:13" ht="17.45" customHeight="1">
      <c r="B90" s="4"/>
      <c r="C90" s="4"/>
      <c r="D90" s="4"/>
      <c r="E90" s="6"/>
      <c r="F90" s="4"/>
      <c r="G90" s="6"/>
      <c r="H90" s="6"/>
      <c r="I90" s="4"/>
      <c r="J90" s="4"/>
      <c r="K90" s="4"/>
      <c r="L90" s="5"/>
      <c r="M90" s="4"/>
    </row>
    <row r="91" spans="2:13" ht="17.45" customHeight="1">
      <c r="B91" s="4"/>
      <c r="C91" s="4"/>
      <c r="D91" s="4"/>
      <c r="E91" s="6"/>
      <c r="F91" s="4"/>
      <c r="G91" s="6"/>
      <c r="H91" s="6"/>
      <c r="I91" s="4"/>
      <c r="J91" s="4"/>
      <c r="K91" s="4"/>
      <c r="L91" s="5"/>
      <c r="M91" s="4"/>
    </row>
    <row r="92" spans="2:13" ht="17.45" customHeight="1">
      <c r="B92" s="4"/>
      <c r="C92" s="4"/>
      <c r="D92" s="4"/>
      <c r="E92" s="6"/>
      <c r="F92" s="4"/>
      <c r="G92" s="6"/>
      <c r="H92" s="6"/>
      <c r="I92" s="4"/>
      <c r="J92" s="4"/>
      <c r="K92" s="4"/>
      <c r="L92" s="5"/>
      <c r="M92" s="4"/>
    </row>
    <row r="93" spans="2:13" ht="17.45" customHeight="1">
      <c r="B93" s="4"/>
      <c r="C93" s="4"/>
      <c r="D93" s="4"/>
      <c r="E93" s="6"/>
      <c r="F93" s="4"/>
      <c r="G93" s="6"/>
      <c r="H93" s="6"/>
      <c r="I93" s="4"/>
      <c r="J93" s="4"/>
      <c r="K93" s="4"/>
      <c r="L93" s="5"/>
      <c r="M93" s="4"/>
    </row>
    <row r="94" spans="2:13" ht="17.45" customHeight="1">
      <c r="B94" s="4"/>
      <c r="C94" s="4"/>
      <c r="D94" s="4"/>
      <c r="E94" s="6"/>
      <c r="F94" s="4"/>
      <c r="G94" s="6"/>
      <c r="H94" s="6"/>
      <c r="I94" s="4"/>
      <c r="J94" s="4"/>
      <c r="K94" s="4"/>
      <c r="L94" s="5"/>
      <c r="M94" s="4"/>
    </row>
    <row r="95" spans="2:13" ht="17.45" customHeight="1">
      <c r="B95" s="4"/>
      <c r="C95" s="4"/>
      <c r="D95" s="4"/>
      <c r="E95" s="6"/>
      <c r="F95" s="4"/>
      <c r="G95" s="6"/>
      <c r="H95" s="6"/>
      <c r="I95" s="4"/>
      <c r="J95" s="4"/>
      <c r="K95" s="4"/>
      <c r="L95" s="5"/>
      <c r="M95" s="4"/>
    </row>
    <row r="96" spans="2:13" ht="17.45" customHeight="1">
      <c r="B96" s="4"/>
      <c r="C96" s="4"/>
      <c r="D96" s="4"/>
      <c r="E96" s="6"/>
      <c r="F96" s="4"/>
      <c r="G96" s="6"/>
      <c r="H96" s="6"/>
      <c r="I96" s="4"/>
      <c r="J96" s="4"/>
      <c r="K96" s="4"/>
      <c r="L96" s="5"/>
      <c r="M96" s="4"/>
    </row>
    <row r="97" spans="2:13" ht="17.45" customHeight="1">
      <c r="B97" s="4"/>
      <c r="C97" s="4"/>
      <c r="D97" s="4"/>
      <c r="E97" s="6"/>
      <c r="F97" s="4"/>
      <c r="G97" s="6"/>
      <c r="H97" s="6"/>
      <c r="I97" s="4"/>
      <c r="J97" s="4"/>
      <c r="K97" s="4"/>
      <c r="L97" s="5"/>
      <c r="M97" s="4"/>
    </row>
    <row r="98" spans="2:13" ht="17.45" customHeight="1">
      <c r="B98" s="4"/>
      <c r="C98" s="4"/>
      <c r="D98" s="4"/>
      <c r="E98" s="6"/>
      <c r="F98" s="4"/>
      <c r="G98" s="6"/>
      <c r="H98" s="6"/>
      <c r="I98" s="4"/>
      <c r="J98" s="4"/>
      <c r="K98" s="4"/>
      <c r="L98" s="5"/>
      <c r="M98" s="4"/>
    </row>
    <row r="99" spans="2:13" ht="17.45" customHeight="1">
      <c r="B99" s="4"/>
      <c r="C99" s="4"/>
      <c r="D99" s="4"/>
      <c r="E99" s="6"/>
      <c r="F99" s="4"/>
      <c r="G99" s="6"/>
      <c r="H99" s="6"/>
      <c r="I99" s="4"/>
      <c r="J99" s="4"/>
      <c r="K99" s="4"/>
      <c r="L99" s="5"/>
      <c r="M99" s="4"/>
    </row>
    <row r="100" spans="2:13" ht="17.45" customHeight="1">
      <c r="B100" s="4"/>
      <c r="C100" s="4"/>
      <c r="D100" s="4"/>
      <c r="E100" s="6"/>
      <c r="F100" s="4"/>
      <c r="G100" s="6"/>
      <c r="H100" s="6"/>
      <c r="I100" s="4"/>
      <c r="J100" s="4"/>
      <c r="K100" s="4"/>
      <c r="L100" s="5"/>
      <c r="M100" s="4"/>
    </row>
    <row r="101" spans="2:13" ht="17.45" customHeight="1">
      <c r="B101" s="4"/>
      <c r="C101" s="4"/>
      <c r="D101" s="4"/>
      <c r="E101" s="6"/>
      <c r="F101" s="4"/>
      <c r="G101" s="6"/>
      <c r="H101" s="6"/>
      <c r="I101" s="4"/>
      <c r="J101" s="4"/>
      <c r="K101" s="4"/>
      <c r="L101" s="5"/>
      <c r="M101" s="4"/>
    </row>
    <row r="102" spans="2:13" ht="17.45" customHeight="1">
      <c r="B102" s="4"/>
      <c r="C102" s="4"/>
      <c r="D102" s="4"/>
      <c r="E102" s="6"/>
      <c r="F102" s="4"/>
      <c r="G102" s="6"/>
      <c r="H102" s="6"/>
      <c r="I102" s="4"/>
      <c r="J102" s="4"/>
      <c r="K102" s="4"/>
      <c r="L102" s="5"/>
      <c r="M102" s="4"/>
    </row>
    <row r="103" spans="2:13" ht="17.45" customHeight="1">
      <c r="B103" s="4"/>
      <c r="C103" s="4"/>
      <c r="D103" s="4"/>
      <c r="E103" s="6"/>
      <c r="F103" s="4"/>
      <c r="G103" s="6"/>
      <c r="H103" s="6"/>
      <c r="I103" s="4"/>
      <c r="J103" s="4"/>
      <c r="K103" s="4"/>
      <c r="L103" s="5"/>
      <c r="M103" s="4"/>
    </row>
    <row r="104" spans="2:13" ht="17.45" customHeight="1">
      <c r="B104" s="4"/>
      <c r="C104" s="4"/>
      <c r="D104" s="4"/>
      <c r="E104" s="6"/>
      <c r="F104" s="4"/>
      <c r="G104" s="6"/>
      <c r="H104" s="6"/>
      <c r="I104" s="4"/>
      <c r="J104" s="4"/>
      <c r="K104" s="4"/>
      <c r="L104" s="5"/>
      <c r="M104" s="4"/>
    </row>
    <row r="105" spans="2:13" ht="17.45" customHeight="1">
      <c r="B105" s="4"/>
      <c r="C105" s="4"/>
      <c r="D105" s="4"/>
      <c r="E105" s="6"/>
      <c r="F105" s="4"/>
      <c r="G105" s="6"/>
      <c r="H105" s="6"/>
      <c r="I105" s="4"/>
      <c r="J105" s="4"/>
      <c r="K105" s="4"/>
      <c r="L105" s="5"/>
      <c r="M105" s="4"/>
    </row>
    <row r="106" spans="2:13" ht="17.45" customHeight="1">
      <c r="B106" s="4"/>
      <c r="C106" s="4"/>
      <c r="D106" s="4"/>
      <c r="E106" s="6"/>
      <c r="F106" s="4"/>
      <c r="G106" s="6"/>
      <c r="H106" s="6"/>
      <c r="I106" s="4"/>
      <c r="J106" s="4"/>
      <c r="K106" s="4"/>
      <c r="L106" s="5"/>
      <c r="M106" s="4"/>
    </row>
    <row r="107" spans="2:13" ht="17.45" customHeight="1">
      <c r="B107" s="4"/>
      <c r="C107" s="4"/>
      <c r="D107" s="4"/>
      <c r="E107" s="6"/>
      <c r="F107" s="4"/>
      <c r="G107" s="6"/>
      <c r="H107" s="6"/>
      <c r="I107" s="4"/>
      <c r="J107" s="4"/>
      <c r="K107" s="4"/>
      <c r="L107" s="5"/>
      <c r="M107" s="4"/>
    </row>
    <row r="108" spans="2:13" ht="17.45" customHeight="1">
      <c r="B108" s="4"/>
      <c r="C108" s="4"/>
      <c r="D108" s="4"/>
      <c r="E108" s="6"/>
      <c r="F108" s="4"/>
      <c r="G108" s="6"/>
      <c r="H108" s="6"/>
      <c r="I108" s="4"/>
      <c r="J108" s="4"/>
      <c r="K108" s="4"/>
      <c r="L108" s="5"/>
      <c r="M108" s="4"/>
    </row>
    <row r="109" spans="2:13" ht="17.45" customHeight="1">
      <c r="B109" s="4"/>
      <c r="C109" s="4"/>
      <c r="D109" s="4"/>
      <c r="E109" s="6"/>
      <c r="F109" s="4"/>
      <c r="G109" s="6"/>
      <c r="H109" s="6"/>
      <c r="I109" s="4"/>
      <c r="J109" s="4"/>
      <c r="K109" s="4"/>
      <c r="L109" s="5"/>
      <c r="M109" s="4"/>
    </row>
    <row r="110" spans="2:13" ht="17.45" customHeight="1">
      <c r="B110" s="4"/>
      <c r="C110" s="4"/>
      <c r="D110" s="4"/>
      <c r="E110" s="6"/>
      <c r="F110" s="4"/>
      <c r="G110" s="6"/>
      <c r="H110" s="6"/>
      <c r="I110" s="4"/>
      <c r="J110" s="4"/>
      <c r="K110" s="4"/>
      <c r="L110" s="5"/>
      <c r="M110" s="4"/>
    </row>
    <row r="111" spans="2:13" ht="17.45" customHeight="1">
      <c r="B111" s="4"/>
      <c r="C111" s="4"/>
      <c r="D111" s="4"/>
      <c r="E111" s="6"/>
      <c r="F111" s="4"/>
      <c r="G111" s="6"/>
      <c r="H111" s="6"/>
      <c r="I111" s="4"/>
      <c r="J111" s="4"/>
      <c r="K111" s="4"/>
      <c r="L111" s="5"/>
      <c r="M111" s="4"/>
    </row>
    <row r="112" spans="2:13" ht="17.45" customHeight="1">
      <c r="B112" s="4"/>
      <c r="C112" s="4"/>
      <c r="D112" s="4"/>
      <c r="E112" s="6"/>
      <c r="F112" s="4"/>
      <c r="G112" s="6"/>
      <c r="H112" s="6"/>
      <c r="I112" s="4"/>
      <c r="J112" s="4"/>
      <c r="K112" s="4"/>
      <c r="L112" s="5"/>
      <c r="M112" s="4"/>
    </row>
    <row r="113" spans="2:13" ht="17.45" customHeight="1">
      <c r="B113" s="4"/>
      <c r="C113" s="4"/>
      <c r="D113" s="4"/>
      <c r="E113" s="6"/>
      <c r="F113" s="4"/>
      <c r="G113" s="6"/>
      <c r="H113" s="6"/>
      <c r="I113" s="4"/>
      <c r="J113" s="4"/>
      <c r="K113" s="4"/>
      <c r="L113" s="5"/>
      <c r="M113" s="4"/>
    </row>
    <row r="114" spans="2:13" ht="17.45" customHeight="1">
      <c r="B114" s="4"/>
      <c r="C114" s="4"/>
      <c r="D114" s="4"/>
      <c r="E114" s="6"/>
      <c r="F114" s="4"/>
      <c r="G114" s="6"/>
      <c r="H114" s="6"/>
      <c r="I114" s="4"/>
      <c r="J114" s="4"/>
      <c r="K114" s="4"/>
      <c r="L114" s="5"/>
      <c r="M114" s="4"/>
    </row>
    <row r="115" spans="2:13" ht="17.45" customHeight="1">
      <c r="B115" s="4"/>
      <c r="C115" s="4"/>
      <c r="D115" s="4"/>
      <c r="E115" s="6"/>
      <c r="F115" s="4"/>
      <c r="G115" s="6"/>
      <c r="H115" s="6"/>
      <c r="I115" s="4"/>
      <c r="J115" s="4"/>
      <c r="K115" s="4"/>
      <c r="L115" s="5"/>
      <c r="M115" s="4"/>
    </row>
    <row r="116" spans="2:13" ht="17.45" customHeight="1">
      <c r="B116" s="4"/>
      <c r="C116" s="4"/>
      <c r="D116" s="4"/>
      <c r="E116" s="6"/>
      <c r="F116" s="4"/>
      <c r="G116" s="6"/>
      <c r="H116" s="6"/>
      <c r="I116" s="4"/>
      <c r="J116" s="4"/>
      <c r="K116" s="4"/>
      <c r="L116" s="5"/>
      <c r="M116" s="4"/>
    </row>
    <row r="117" spans="2:13" ht="17.45" customHeight="1">
      <c r="B117" s="4"/>
      <c r="C117" s="4"/>
      <c r="D117" s="4"/>
      <c r="E117" s="6"/>
      <c r="F117" s="4"/>
      <c r="G117" s="6"/>
      <c r="H117" s="6"/>
      <c r="I117" s="4"/>
      <c r="J117" s="4"/>
      <c r="K117" s="4"/>
      <c r="L117" s="5"/>
      <c r="M117" s="4"/>
    </row>
    <row r="118" spans="2:13" ht="17.45" customHeight="1">
      <c r="B118" s="4"/>
      <c r="C118" s="4"/>
      <c r="D118" s="4"/>
      <c r="E118" s="6"/>
      <c r="F118" s="4"/>
      <c r="G118" s="6"/>
      <c r="H118" s="6"/>
      <c r="I118" s="4"/>
      <c r="J118" s="4"/>
      <c r="K118" s="4"/>
      <c r="L118" s="5"/>
      <c r="M118" s="4"/>
    </row>
    <row r="119" spans="2:13" ht="17.45" customHeight="1">
      <c r="B119" s="4"/>
      <c r="C119" s="4"/>
      <c r="D119" s="4"/>
      <c r="E119" s="6"/>
      <c r="F119" s="4"/>
      <c r="G119" s="6"/>
      <c r="H119" s="6"/>
      <c r="I119" s="4"/>
      <c r="J119" s="4"/>
      <c r="K119" s="4"/>
      <c r="L119" s="5"/>
      <c r="M119" s="4"/>
    </row>
    <row r="120" spans="2:13" ht="17.45" customHeight="1">
      <c r="B120" s="4"/>
      <c r="C120" s="4"/>
      <c r="D120" s="4"/>
      <c r="E120" s="6"/>
      <c r="F120" s="4"/>
      <c r="G120" s="6"/>
      <c r="H120" s="6"/>
      <c r="I120" s="4"/>
      <c r="J120" s="4"/>
      <c r="K120" s="4"/>
      <c r="L120" s="5"/>
      <c r="M120" s="4"/>
    </row>
    <row r="121" spans="2:13" ht="17.45" customHeight="1">
      <c r="B121" s="4"/>
      <c r="C121" s="4"/>
      <c r="D121" s="4"/>
      <c r="E121" s="6"/>
      <c r="F121" s="4"/>
      <c r="G121" s="6"/>
      <c r="H121" s="6"/>
      <c r="I121" s="4"/>
      <c r="J121" s="4"/>
      <c r="K121" s="4"/>
      <c r="L121" s="5"/>
      <c r="M121" s="4"/>
    </row>
    <row r="122" spans="2:13" ht="17.45" customHeight="1">
      <c r="B122" s="4"/>
      <c r="C122" s="4"/>
      <c r="D122" s="4"/>
      <c r="E122" s="6"/>
      <c r="F122" s="4"/>
      <c r="G122" s="6"/>
      <c r="H122" s="6"/>
      <c r="I122" s="4"/>
      <c r="J122" s="4"/>
      <c r="K122" s="4"/>
      <c r="L122" s="5"/>
      <c r="M122" s="4"/>
    </row>
    <row r="123" spans="2:13" ht="17.45" customHeight="1">
      <c r="B123" s="4"/>
      <c r="C123" s="4"/>
      <c r="D123" s="4"/>
      <c r="E123" s="6"/>
      <c r="F123" s="4"/>
      <c r="G123" s="6"/>
      <c r="H123" s="6"/>
      <c r="I123" s="4"/>
      <c r="J123" s="4"/>
      <c r="K123" s="4"/>
      <c r="L123" s="5"/>
      <c r="M123" s="4"/>
    </row>
    <row r="124" spans="2:13" ht="17.45" customHeight="1">
      <c r="B124" s="4"/>
      <c r="C124" s="4"/>
      <c r="D124" s="4"/>
      <c r="E124" s="6"/>
      <c r="F124" s="4"/>
      <c r="G124" s="6"/>
      <c r="H124" s="6"/>
      <c r="I124" s="4"/>
      <c r="J124" s="4"/>
      <c r="K124" s="4"/>
      <c r="L124" s="5"/>
      <c r="M124" s="4"/>
    </row>
    <row r="125" spans="2:13" ht="17.45" customHeight="1">
      <c r="B125" s="4"/>
      <c r="C125" s="4"/>
      <c r="D125" s="4"/>
      <c r="E125" s="6"/>
      <c r="F125" s="4"/>
      <c r="G125" s="6"/>
      <c r="H125" s="6"/>
      <c r="I125" s="4"/>
      <c r="J125" s="4"/>
      <c r="K125" s="4"/>
      <c r="L125" s="5"/>
      <c r="M125" s="4"/>
    </row>
    <row r="126" spans="2:13" ht="17.45" customHeight="1">
      <c r="B126" s="4"/>
      <c r="C126" s="4"/>
      <c r="D126" s="4"/>
      <c r="E126" s="6"/>
      <c r="F126" s="4"/>
      <c r="G126" s="6"/>
      <c r="H126" s="6"/>
      <c r="I126" s="4"/>
      <c r="J126" s="4"/>
      <c r="K126" s="4"/>
      <c r="L126" s="5"/>
      <c r="M126" s="4"/>
    </row>
    <row r="127" spans="2:13" ht="17.45" customHeight="1">
      <c r="B127" s="4"/>
      <c r="C127" s="4"/>
      <c r="D127" s="4"/>
      <c r="E127" s="6"/>
      <c r="F127" s="4"/>
      <c r="G127" s="6"/>
      <c r="H127" s="6"/>
      <c r="I127" s="4"/>
      <c r="J127" s="4"/>
      <c r="K127" s="4"/>
      <c r="L127" s="5"/>
      <c r="M127" s="4"/>
    </row>
    <row r="128" spans="2:13" ht="17.45" customHeight="1">
      <c r="B128" s="4"/>
      <c r="C128" s="4"/>
      <c r="D128" s="4"/>
      <c r="E128" s="6"/>
      <c r="F128" s="4"/>
      <c r="G128" s="6"/>
      <c r="H128" s="6"/>
      <c r="I128" s="4"/>
      <c r="J128" s="4"/>
      <c r="K128" s="4"/>
      <c r="L128" s="5"/>
      <c r="M128" s="4"/>
    </row>
    <row r="129" spans="2:13" ht="17.45" customHeight="1">
      <c r="B129" s="4"/>
      <c r="C129" s="4"/>
      <c r="D129" s="4"/>
      <c r="E129" s="6"/>
      <c r="F129" s="4"/>
      <c r="G129" s="6"/>
      <c r="H129" s="6"/>
      <c r="I129" s="4"/>
      <c r="J129" s="4"/>
      <c r="K129" s="4"/>
      <c r="L129" s="5"/>
      <c r="M129" s="4"/>
    </row>
    <row r="130" spans="2:13" ht="17.45" customHeight="1">
      <c r="B130" s="4"/>
      <c r="C130" s="4"/>
      <c r="D130" s="4"/>
      <c r="E130" s="6"/>
      <c r="F130" s="4"/>
      <c r="G130" s="6"/>
      <c r="H130" s="6"/>
      <c r="I130" s="4"/>
      <c r="J130" s="4"/>
      <c r="K130" s="4"/>
      <c r="L130" s="5"/>
      <c r="M130" s="4"/>
    </row>
    <row r="131" spans="2:13" ht="17.45" customHeight="1">
      <c r="B131" s="4"/>
      <c r="C131" s="4"/>
      <c r="D131" s="4"/>
      <c r="E131" s="6"/>
      <c r="F131" s="4"/>
      <c r="G131" s="6"/>
      <c r="H131" s="6"/>
      <c r="I131" s="4"/>
      <c r="J131" s="4"/>
      <c r="K131" s="4"/>
      <c r="L131" s="5"/>
      <c r="M131" s="4"/>
    </row>
    <row r="132" spans="2:13" ht="17.45" customHeight="1">
      <c r="B132" s="4"/>
      <c r="C132" s="4"/>
      <c r="D132" s="4"/>
      <c r="E132" s="6"/>
      <c r="F132" s="4"/>
      <c r="G132" s="6"/>
      <c r="H132" s="6"/>
      <c r="I132" s="4"/>
      <c r="J132" s="4"/>
      <c r="K132" s="4"/>
      <c r="L132" s="5"/>
      <c r="M132" s="4"/>
    </row>
    <row r="133" spans="2:13" ht="17.45" customHeight="1">
      <c r="B133" s="4"/>
      <c r="C133" s="4"/>
      <c r="D133" s="4"/>
      <c r="E133" s="6"/>
      <c r="F133" s="4"/>
      <c r="G133" s="6"/>
      <c r="H133" s="6"/>
      <c r="I133" s="4"/>
      <c r="J133" s="4"/>
      <c r="K133" s="4"/>
      <c r="L133" s="5"/>
      <c r="M133" s="4"/>
    </row>
    <row r="134" spans="2:13" ht="17.45" customHeight="1">
      <c r="B134" s="4"/>
      <c r="C134" s="4"/>
      <c r="D134" s="4"/>
      <c r="E134" s="6"/>
      <c r="F134" s="4"/>
      <c r="G134" s="6"/>
      <c r="H134" s="6"/>
      <c r="I134" s="4"/>
      <c r="J134" s="4"/>
      <c r="K134" s="4"/>
      <c r="L134" s="5"/>
      <c r="M134" s="4"/>
    </row>
    <row r="135" spans="2:13" ht="17.45" customHeight="1">
      <c r="B135" s="4"/>
      <c r="C135" s="4"/>
      <c r="D135" s="4"/>
      <c r="E135" s="6"/>
      <c r="F135" s="4"/>
      <c r="G135" s="6"/>
      <c r="H135" s="6"/>
      <c r="I135" s="4"/>
      <c r="J135" s="4"/>
      <c r="K135" s="4"/>
      <c r="L135" s="5"/>
      <c r="M135" s="4"/>
    </row>
    <row r="136" spans="2:13" ht="17.45" customHeight="1">
      <c r="B136" s="4"/>
      <c r="C136" s="4"/>
      <c r="D136" s="4"/>
      <c r="E136" s="6"/>
      <c r="F136" s="4"/>
      <c r="G136" s="6"/>
      <c r="H136" s="6"/>
      <c r="I136" s="4"/>
      <c r="J136" s="4"/>
      <c r="K136" s="4"/>
      <c r="L136" s="5"/>
      <c r="M136" s="4"/>
    </row>
    <row r="137" spans="2:13" ht="17.45" customHeight="1">
      <c r="B137" s="4"/>
      <c r="C137" s="4"/>
      <c r="D137" s="4"/>
      <c r="E137" s="6"/>
      <c r="F137" s="4"/>
      <c r="G137" s="6"/>
      <c r="H137" s="6"/>
      <c r="I137" s="4"/>
      <c r="J137" s="4"/>
      <c r="K137" s="4"/>
      <c r="L137" s="5"/>
      <c r="M137" s="4"/>
    </row>
    <row r="138" spans="2:13" ht="17.45" customHeight="1">
      <c r="B138" s="4"/>
      <c r="C138" s="4"/>
      <c r="D138" s="4"/>
      <c r="E138" s="6"/>
      <c r="F138" s="4"/>
      <c r="G138" s="6"/>
      <c r="H138" s="6"/>
      <c r="I138" s="4"/>
      <c r="J138" s="4"/>
      <c r="K138" s="4"/>
      <c r="L138" s="5"/>
      <c r="M138" s="4"/>
    </row>
    <row r="139" spans="2:13" ht="17.45" customHeight="1">
      <c r="B139" s="4"/>
      <c r="C139" s="4"/>
      <c r="D139" s="4"/>
      <c r="E139" s="6"/>
      <c r="F139" s="4"/>
      <c r="G139" s="6"/>
      <c r="H139" s="6"/>
      <c r="I139" s="4"/>
      <c r="J139" s="4"/>
      <c r="K139" s="4"/>
      <c r="L139" s="5"/>
      <c r="M139" s="4"/>
    </row>
    <row r="140" spans="2:13" ht="17.45" customHeight="1">
      <c r="B140" s="4"/>
      <c r="C140" s="4"/>
      <c r="D140" s="4"/>
      <c r="E140" s="6"/>
      <c r="F140" s="4"/>
      <c r="G140" s="6"/>
      <c r="H140" s="6"/>
      <c r="I140" s="4"/>
      <c r="J140" s="4"/>
      <c r="K140" s="4"/>
      <c r="L140" s="5"/>
      <c r="M140" s="4"/>
    </row>
    <row r="141" spans="2:13" ht="17.45" customHeight="1">
      <c r="B141" s="4"/>
      <c r="C141" s="4"/>
      <c r="D141" s="4"/>
      <c r="E141" s="6"/>
      <c r="F141" s="4"/>
      <c r="G141" s="6"/>
      <c r="H141" s="6"/>
      <c r="I141" s="4"/>
      <c r="J141" s="4"/>
      <c r="K141" s="4"/>
      <c r="L141" s="5"/>
      <c r="M141" s="4"/>
    </row>
    <row r="142" spans="2:13" ht="17.45" customHeight="1">
      <c r="B142" s="4"/>
      <c r="C142" s="4"/>
      <c r="D142" s="4"/>
      <c r="E142" s="6"/>
      <c r="F142" s="4"/>
      <c r="G142" s="6"/>
      <c r="H142" s="6"/>
      <c r="I142" s="4"/>
      <c r="J142" s="4"/>
      <c r="K142" s="4"/>
      <c r="L142" s="5"/>
      <c r="M142" s="4"/>
    </row>
    <row r="143" spans="2:13" ht="17.45" customHeight="1">
      <c r="B143" s="4"/>
      <c r="C143" s="4"/>
      <c r="D143" s="4"/>
      <c r="E143" s="6"/>
      <c r="F143" s="4"/>
      <c r="G143" s="6"/>
      <c r="H143" s="6"/>
      <c r="I143" s="4"/>
      <c r="J143" s="4"/>
      <c r="K143" s="4"/>
      <c r="L143" s="5"/>
      <c r="M143" s="4"/>
    </row>
    <row r="144" spans="2:13" ht="17.45" customHeight="1">
      <c r="B144" s="4"/>
      <c r="C144" s="4"/>
      <c r="D144" s="4"/>
      <c r="E144" s="6"/>
      <c r="F144" s="4"/>
      <c r="G144" s="6"/>
      <c r="H144" s="6"/>
      <c r="I144" s="4"/>
      <c r="J144" s="4"/>
      <c r="K144" s="4"/>
      <c r="L144" s="5"/>
      <c r="M144" s="4"/>
    </row>
    <row r="145" spans="2:13" ht="17.45" customHeight="1">
      <c r="B145" s="4"/>
      <c r="C145" s="4"/>
      <c r="D145" s="4"/>
      <c r="E145" s="6"/>
      <c r="F145" s="4"/>
      <c r="G145" s="6"/>
      <c r="H145" s="6"/>
      <c r="I145" s="4"/>
      <c r="J145" s="4"/>
      <c r="K145" s="4"/>
      <c r="L145" s="5"/>
      <c r="M145" s="4"/>
    </row>
    <row r="146" spans="2:13" ht="17.45" customHeight="1">
      <c r="B146" s="4"/>
      <c r="C146" s="4"/>
      <c r="D146" s="4"/>
      <c r="E146" s="6"/>
      <c r="F146" s="4"/>
      <c r="G146" s="6"/>
      <c r="H146" s="6"/>
      <c r="I146" s="4"/>
      <c r="J146" s="4"/>
      <c r="K146" s="4"/>
      <c r="L146" s="5"/>
      <c r="M146" s="4"/>
    </row>
    <row r="147" spans="2:13" ht="17.45" customHeight="1">
      <c r="B147" s="4"/>
      <c r="C147" s="4"/>
      <c r="D147" s="4"/>
      <c r="E147" s="6"/>
      <c r="F147" s="4"/>
      <c r="G147" s="6"/>
      <c r="H147" s="6"/>
      <c r="I147" s="4"/>
      <c r="J147" s="4"/>
      <c r="K147" s="4"/>
      <c r="L147" s="5"/>
      <c r="M147" s="4"/>
    </row>
    <row r="148" spans="2:13" ht="17.45" customHeight="1">
      <c r="B148" s="4"/>
      <c r="C148" s="4"/>
      <c r="D148" s="4"/>
      <c r="E148" s="6"/>
      <c r="F148" s="4"/>
      <c r="G148" s="6"/>
      <c r="H148" s="6"/>
      <c r="I148" s="4"/>
      <c r="J148" s="4"/>
      <c r="K148" s="4"/>
      <c r="L148" s="5"/>
      <c r="M148" s="4"/>
    </row>
    <row r="149" spans="2:13" ht="17.45" customHeight="1">
      <c r="B149" s="4"/>
      <c r="C149" s="4"/>
      <c r="D149" s="4"/>
      <c r="E149" s="6"/>
      <c r="F149" s="4"/>
      <c r="G149" s="6"/>
      <c r="H149" s="6"/>
      <c r="I149" s="4"/>
      <c r="J149" s="4"/>
      <c r="K149" s="4"/>
      <c r="L149" s="5"/>
      <c r="M149" s="4"/>
    </row>
    <row r="150" spans="2:13" ht="17.45" customHeight="1">
      <c r="B150" s="4"/>
      <c r="C150" s="4"/>
      <c r="D150" s="4"/>
      <c r="E150" s="6"/>
      <c r="F150" s="4"/>
      <c r="G150" s="6"/>
      <c r="H150" s="6"/>
      <c r="I150" s="4"/>
      <c r="J150" s="4"/>
      <c r="K150" s="4"/>
      <c r="L150" s="5"/>
      <c r="M150" s="4"/>
    </row>
    <row r="151" spans="2:13" ht="17.45" customHeight="1">
      <c r="B151" s="4"/>
      <c r="C151" s="4"/>
      <c r="D151" s="4"/>
      <c r="E151" s="6"/>
      <c r="F151" s="4"/>
      <c r="G151" s="6"/>
      <c r="H151" s="6"/>
      <c r="I151" s="4"/>
      <c r="J151" s="4"/>
      <c r="K151" s="4"/>
      <c r="L151" s="5"/>
      <c r="M151" s="4"/>
    </row>
    <row r="152" spans="2:13" ht="17.45" customHeight="1">
      <c r="B152" s="4"/>
      <c r="C152" s="4"/>
      <c r="D152" s="4"/>
      <c r="E152" s="6"/>
      <c r="F152" s="4"/>
      <c r="G152" s="6"/>
      <c r="H152" s="6"/>
      <c r="I152" s="4"/>
      <c r="J152" s="4"/>
      <c r="K152" s="4"/>
      <c r="L152" s="5"/>
      <c r="M152" s="4"/>
    </row>
    <row r="153" spans="2:13" ht="17.45" customHeight="1">
      <c r="B153" s="4"/>
      <c r="C153" s="4"/>
      <c r="D153" s="4"/>
      <c r="E153" s="6"/>
      <c r="F153" s="4"/>
      <c r="G153" s="6"/>
      <c r="H153" s="6"/>
      <c r="I153" s="4"/>
      <c r="J153" s="4"/>
      <c r="K153" s="4"/>
      <c r="L153" s="5"/>
      <c r="M153" s="4"/>
    </row>
    <row r="154" spans="2:13" ht="17.45" customHeight="1">
      <c r="B154" s="4"/>
      <c r="C154" s="4"/>
      <c r="D154" s="4"/>
      <c r="E154" s="6"/>
      <c r="F154" s="4"/>
      <c r="G154" s="6"/>
      <c r="H154" s="6"/>
      <c r="I154" s="4"/>
      <c r="J154" s="4"/>
      <c r="K154" s="4"/>
      <c r="L154" s="5"/>
      <c r="M154" s="4"/>
    </row>
    <row r="155" spans="2:13" ht="17.45" customHeight="1">
      <c r="B155" s="4"/>
      <c r="C155" s="4"/>
      <c r="D155" s="4"/>
      <c r="E155" s="6"/>
      <c r="F155" s="4"/>
      <c r="G155" s="6"/>
      <c r="H155" s="6"/>
      <c r="I155" s="4"/>
      <c r="J155" s="4"/>
      <c r="K155" s="4"/>
      <c r="L155" s="5"/>
      <c r="M155" s="4"/>
    </row>
    <row r="156" spans="2:13" ht="17.45" customHeight="1">
      <c r="B156" s="4"/>
      <c r="C156" s="4"/>
      <c r="D156" s="4"/>
      <c r="E156" s="6"/>
      <c r="F156" s="4"/>
      <c r="G156" s="6"/>
      <c r="H156" s="6"/>
      <c r="I156" s="4"/>
      <c r="J156" s="4"/>
      <c r="K156" s="4"/>
      <c r="L156" s="5"/>
      <c r="M156" s="4"/>
    </row>
    <row r="157" spans="2:13" ht="17.45" customHeight="1">
      <c r="B157" s="4"/>
      <c r="C157" s="4"/>
      <c r="D157" s="4"/>
      <c r="E157" s="6"/>
      <c r="F157" s="4"/>
      <c r="G157" s="6"/>
      <c r="H157" s="6"/>
      <c r="I157" s="4"/>
      <c r="J157" s="4"/>
      <c r="K157" s="4"/>
      <c r="L157" s="5"/>
      <c r="M157" s="4"/>
    </row>
    <row r="158" spans="2:13" ht="17.45" customHeight="1">
      <c r="B158" s="4"/>
      <c r="C158" s="4"/>
      <c r="D158" s="4"/>
      <c r="E158" s="6"/>
      <c r="F158" s="4"/>
      <c r="G158" s="6"/>
      <c r="H158" s="6"/>
      <c r="I158" s="4"/>
      <c r="J158" s="4"/>
      <c r="K158" s="4"/>
      <c r="L158" s="5"/>
      <c r="M158" s="4"/>
    </row>
    <row r="159" spans="2:13" ht="17.45" customHeight="1">
      <c r="B159" s="4"/>
      <c r="C159" s="4"/>
      <c r="D159" s="4"/>
      <c r="E159" s="6"/>
      <c r="F159" s="4"/>
      <c r="G159" s="6"/>
      <c r="H159" s="6"/>
      <c r="I159" s="4"/>
      <c r="J159" s="4"/>
      <c r="K159" s="4"/>
      <c r="L159" s="5"/>
      <c r="M159" s="4"/>
    </row>
    <row r="160" spans="2:13" ht="17.45" customHeight="1">
      <c r="B160" s="4"/>
      <c r="C160" s="4"/>
      <c r="D160" s="4"/>
      <c r="E160" s="6"/>
      <c r="F160" s="4"/>
      <c r="G160" s="6"/>
      <c r="H160" s="6"/>
      <c r="I160" s="4"/>
      <c r="J160" s="4"/>
      <c r="K160" s="4"/>
      <c r="L160" s="5"/>
      <c r="M160" s="4"/>
    </row>
    <row r="161" spans="2:13" ht="17.45" customHeight="1">
      <c r="B161" s="4"/>
      <c r="C161" s="4"/>
      <c r="D161" s="4"/>
      <c r="E161" s="6"/>
      <c r="F161" s="4"/>
      <c r="G161" s="6"/>
      <c r="H161" s="6"/>
      <c r="I161" s="4"/>
      <c r="J161" s="4"/>
      <c r="K161" s="4"/>
      <c r="L161" s="5"/>
      <c r="M161" s="4"/>
    </row>
    <row r="162" spans="2:13" ht="17.45" customHeight="1">
      <c r="B162" s="4"/>
      <c r="C162" s="4"/>
      <c r="D162" s="4"/>
      <c r="E162" s="6"/>
      <c r="F162" s="4"/>
      <c r="G162" s="6"/>
      <c r="H162" s="6"/>
      <c r="I162" s="4"/>
      <c r="J162" s="4"/>
      <c r="K162" s="4"/>
      <c r="L162" s="5"/>
      <c r="M162" s="4"/>
    </row>
    <row r="163" spans="2:13" ht="17.45" customHeight="1">
      <c r="B163" s="4"/>
      <c r="C163" s="4"/>
      <c r="D163" s="4"/>
      <c r="E163" s="6"/>
      <c r="F163" s="4"/>
      <c r="G163" s="6"/>
      <c r="H163" s="6"/>
      <c r="I163" s="4"/>
      <c r="J163" s="4"/>
      <c r="K163" s="4"/>
      <c r="L163" s="5"/>
      <c r="M163" s="4"/>
    </row>
    <row r="164" spans="2:13" ht="17.45" customHeight="1">
      <c r="B164" s="4"/>
      <c r="C164" s="4"/>
      <c r="D164" s="4"/>
      <c r="E164" s="6"/>
      <c r="F164" s="4"/>
      <c r="G164" s="6"/>
      <c r="H164" s="6"/>
      <c r="I164" s="4"/>
      <c r="J164" s="4"/>
      <c r="K164" s="4"/>
      <c r="L164" s="5"/>
      <c r="M164" s="4"/>
    </row>
    <row r="165" spans="2:13" ht="17.45" customHeight="1">
      <c r="B165" s="4"/>
      <c r="C165" s="4"/>
      <c r="D165" s="4"/>
      <c r="E165" s="6"/>
      <c r="F165" s="4"/>
      <c r="G165" s="6"/>
      <c r="H165" s="6"/>
      <c r="I165" s="4"/>
      <c r="J165" s="4"/>
      <c r="K165" s="4"/>
      <c r="L165" s="5"/>
      <c r="M165" s="4"/>
    </row>
    <row r="166" spans="2:13" ht="17.45" customHeight="1">
      <c r="B166" s="4"/>
      <c r="C166" s="4"/>
      <c r="D166" s="4"/>
      <c r="E166" s="6"/>
      <c r="F166" s="4"/>
      <c r="G166" s="6"/>
      <c r="H166" s="6"/>
      <c r="I166" s="4"/>
      <c r="J166" s="4"/>
      <c r="K166" s="4"/>
      <c r="L166" s="5"/>
      <c r="M166" s="4"/>
    </row>
    <row r="167" spans="2:13" ht="17.45" customHeight="1">
      <c r="B167" s="4"/>
      <c r="C167" s="4"/>
      <c r="D167" s="4"/>
      <c r="E167" s="6"/>
      <c r="F167" s="4"/>
      <c r="G167" s="6"/>
      <c r="H167" s="6"/>
      <c r="I167" s="4"/>
      <c r="J167" s="4"/>
      <c r="K167" s="4"/>
      <c r="L167" s="5"/>
      <c r="M167" s="4"/>
    </row>
    <row r="168" spans="2:13" ht="17.45" customHeight="1">
      <c r="B168" s="4"/>
      <c r="C168" s="4"/>
      <c r="D168" s="4"/>
      <c r="E168" s="6"/>
      <c r="F168" s="4"/>
      <c r="G168" s="6"/>
      <c r="H168" s="6"/>
      <c r="I168" s="4"/>
      <c r="J168" s="4"/>
      <c r="K168" s="4"/>
      <c r="L168" s="5"/>
      <c r="M168" s="4"/>
    </row>
    <row r="169" spans="2:13" ht="17.45" customHeight="1">
      <c r="B169" s="4"/>
      <c r="C169" s="4"/>
      <c r="D169" s="4"/>
      <c r="E169" s="6"/>
      <c r="F169" s="4"/>
      <c r="G169" s="6"/>
      <c r="H169" s="6"/>
      <c r="I169" s="4"/>
      <c r="J169" s="4"/>
      <c r="K169" s="4"/>
      <c r="L169" s="5"/>
      <c r="M169" s="4"/>
    </row>
    <row r="170" spans="2:13" ht="17.45" customHeight="1">
      <c r="B170" s="4"/>
      <c r="C170" s="4"/>
      <c r="D170" s="4"/>
      <c r="E170" s="6"/>
      <c r="F170" s="4"/>
      <c r="G170" s="6"/>
      <c r="H170" s="6"/>
      <c r="I170" s="4"/>
      <c r="J170" s="4"/>
      <c r="K170" s="4"/>
      <c r="L170" s="5"/>
      <c r="M170" s="4"/>
    </row>
    <row r="171" spans="2:13" ht="17.45" customHeight="1">
      <c r="B171" s="4"/>
      <c r="C171" s="4"/>
      <c r="D171" s="4"/>
      <c r="E171" s="6"/>
      <c r="F171" s="4"/>
      <c r="G171" s="6"/>
      <c r="H171" s="6"/>
      <c r="I171" s="4"/>
      <c r="J171" s="4"/>
      <c r="K171" s="4"/>
      <c r="L171" s="5"/>
      <c r="M171" s="4"/>
    </row>
    <row r="172" spans="2:13" ht="17.45" customHeight="1">
      <c r="B172" s="4"/>
      <c r="C172" s="4"/>
      <c r="D172" s="4"/>
      <c r="E172" s="6"/>
      <c r="F172" s="4"/>
      <c r="G172" s="6"/>
      <c r="H172" s="6"/>
      <c r="I172" s="4"/>
      <c r="J172" s="4"/>
      <c r="K172" s="4"/>
      <c r="L172" s="5"/>
      <c r="M172" s="4"/>
    </row>
    <row r="173" spans="2:13" ht="17.45" customHeight="1">
      <c r="B173" s="4"/>
      <c r="C173" s="4"/>
      <c r="D173" s="4"/>
      <c r="E173" s="6"/>
      <c r="F173" s="4"/>
      <c r="G173" s="6"/>
      <c r="H173" s="6"/>
      <c r="I173" s="4"/>
      <c r="J173" s="4"/>
      <c r="K173" s="4"/>
      <c r="L173" s="5"/>
      <c r="M173" s="4"/>
    </row>
    <row r="174" spans="2:13" ht="17.45" customHeight="1">
      <c r="B174" s="4"/>
      <c r="C174" s="4"/>
      <c r="D174" s="4"/>
      <c r="E174" s="6"/>
      <c r="F174" s="4"/>
      <c r="G174" s="6"/>
      <c r="H174" s="6"/>
      <c r="I174" s="4"/>
      <c r="J174" s="4"/>
      <c r="K174" s="4"/>
      <c r="L174" s="5"/>
      <c r="M174" s="4"/>
    </row>
    <row r="175" spans="2:13" ht="17.45" customHeight="1">
      <c r="B175" s="4"/>
      <c r="C175" s="4"/>
      <c r="D175" s="4"/>
      <c r="E175" s="6"/>
      <c r="F175" s="4"/>
      <c r="G175" s="6"/>
      <c r="H175" s="6"/>
      <c r="I175" s="4"/>
      <c r="J175" s="4"/>
      <c r="K175" s="4"/>
      <c r="L175" s="5"/>
      <c r="M175" s="4"/>
    </row>
    <row r="176" spans="2:13" ht="17.45" customHeight="1">
      <c r="B176" s="4"/>
      <c r="C176" s="4"/>
      <c r="D176" s="4"/>
      <c r="E176" s="6"/>
      <c r="F176" s="4"/>
      <c r="G176" s="6"/>
      <c r="H176" s="6"/>
      <c r="I176" s="4"/>
      <c r="J176" s="4"/>
      <c r="K176" s="4"/>
      <c r="L176" s="5"/>
      <c r="M176" s="4"/>
    </row>
    <row r="177" spans="2:13" ht="17.45" customHeight="1">
      <c r="B177" s="4"/>
      <c r="C177" s="4"/>
      <c r="D177" s="4"/>
      <c r="E177" s="6"/>
      <c r="F177" s="4"/>
      <c r="G177" s="6"/>
      <c r="H177" s="6"/>
      <c r="I177" s="4"/>
      <c r="J177" s="4"/>
      <c r="K177" s="4"/>
      <c r="L177" s="5"/>
      <c r="M177" s="4"/>
    </row>
    <row r="178" spans="2:13" ht="17.45" customHeight="1">
      <c r="B178" s="4"/>
      <c r="C178" s="4"/>
      <c r="D178" s="4"/>
      <c r="E178" s="6"/>
      <c r="F178" s="4"/>
      <c r="G178" s="6"/>
      <c r="H178" s="6"/>
      <c r="I178" s="4"/>
      <c r="J178" s="4"/>
      <c r="K178" s="4"/>
      <c r="L178" s="5"/>
      <c r="M178" s="4"/>
    </row>
    <row r="179" spans="2:13" ht="17.45" customHeight="1">
      <c r="B179" s="4"/>
      <c r="C179" s="4"/>
      <c r="D179" s="4"/>
      <c r="E179" s="6"/>
      <c r="F179" s="4"/>
      <c r="G179" s="6"/>
      <c r="H179" s="6"/>
      <c r="I179" s="4"/>
      <c r="J179" s="4"/>
      <c r="K179" s="4"/>
      <c r="L179" s="5"/>
      <c r="M179" s="4"/>
    </row>
    <row r="180" spans="2:13" ht="17.45" customHeight="1">
      <c r="B180" s="4"/>
      <c r="C180" s="4"/>
      <c r="D180" s="4"/>
      <c r="E180" s="6"/>
      <c r="F180" s="4"/>
      <c r="G180" s="6"/>
      <c r="H180" s="6"/>
      <c r="I180" s="4"/>
      <c r="J180" s="4"/>
      <c r="K180" s="4"/>
      <c r="L180" s="5"/>
      <c r="M180" s="4"/>
    </row>
    <row r="181" spans="2:13" ht="17.45" customHeight="1">
      <c r="B181" s="4"/>
      <c r="C181" s="4"/>
      <c r="D181" s="4"/>
      <c r="E181" s="6"/>
      <c r="F181" s="4"/>
      <c r="G181" s="6"/>
      <c r="H181" s="6"/>
      <c r="I181" s="4"/>
      <c r="J181" s="4"/>
      <c r="K181" s="4"/>
      <c r="L181" s="5"/>
      <c r="M181" s="4"/>
    </row>
    <row r="182" spans="2:13" ht="17.45" customHeight="1">
      <c r="B182" s="4"/>
      <c r="C182" s="4"/>
      <c r="D182" s="4"/>
      <c r="E182" s="6"/>
      <c r="F182" s="4"/>
      <c r="G182" s="6"/>
      <c r="H182" s="6"/>
      <c r="I182" s="4"/>
      <c r="J182" s="4"/>
      <c r="K182" s="4"/>
      <c r="L182" s="5"/>
      <c r="M182" s="4"/>
    </row>
    <row r="183" spans="2:13" ht="17.45" customHeight="1">
      <c r="B183" s="4"/>
      <c r="C183" s="4"/>
      <c r="D183" s="4"/>
      <c r="E183" s="6"/>
      <c r="F183" s="4"/>
      <c r="G183" s="6"/>
      <c r="H183" s="6"/>
      <c r="I183" s="4"/>
      <c r="J183" s="4"/>
      <c r="K183" s="4"/>
      <c r="L183" s="5"/>
      <c r="M183" s="4"/>
    </row>
    <row r="184" spans="2:13" ht="17.45" customHeight="1">
      <c r="B184" s="4"/>
      <c r="C184" s="4"/>
      <c r="D184" s="4"/>
      <c r="E184" s="6"/>
      <c r="F184" s="4"/>
      <c r="G184" s="6"/>
      <c r="H184" s="6"/>
      <c r="I184" s="4"/>
      <c r="J184" s="4"/>
      <c r="K184" s="4"/>
      <c r="L184" s="5"/>
      <c r="M184" s="4"/>
    </row>
    <row r="185" spans="2:13" ht="17.45" customHeight="1">
      <c r="B185" s="4"/>
      <c r="C185" s="4"/>
      <c r="D185" s="4"/>
      <c r="E185" s="6"/>
      <c r="F185" s="4"/>
      <c r="G185" s="6"/>
      <c r="H185" s="6"/>
      <c r="I185" s="4"/>
      <c r="J185" s="4"/>
      <c r="K185" s="4"/>
      <c r="L185" s="5"/>
      <c r="M185" s="4"/>
    </row>
    <row r="186" spans="2:13" ht="17.45" customHeight="1">
      <c r="B186" s="4"/>
      <c r="C186" s="4"/>
      <c r="D186" s="4"/>
      <c r="E186" s="6"/>
      <c r="F186" s="4"/>
      <c r="G186" s="6"/>
      <c r="H186" s="6"/>
      <c r="I186" s="4"/>
      <c r="J186" s="4"/>
      <c r="K186" s="4"/>
      <c r="L186" s="5"/>
      <c r="M186" s="4"/>
    </row>
    <row r="187" spans="2:13" ht="17.45" customHeight="1">
      <c r="B187" s="4"/>
      <c r="C187" s="4"/>
      <c r="D187" s="4"/>
      <c r="E187" s="6"/>
      <c r="F187" s="4"/>
      <c r="G187" s="6"/>
      <c r="H187" s="6"/>
      <c r="I187" s="4"/>
      <c r="J187" s="4"/>
      <c r="K187" s="4"/>
      <c r="L187" s="5"/>
      <c r="M187" s="4"/>
    </row>
    <row r="188" spans="2:13" ht="17.45" customHeight="1">
      <c r="B188" s="4"/>
      <c r="I188" s="4"/>
      <c r="J188" s="4"/>
      <c r="K188" s="4"/>
      <c r="L188" s="5"/>
      <c r="M188" s="4"/>
    </row>
    <row r="189" spans="2:13" ht="17.45" customHeight="1">
      <c r="B189" s="4"/>
      <c r="I189" s="4"/>
      <c r="J189" s="4"/>
      <c r="K189" s="4"/>
      <c r="L189" s="5"/>
      <c r="M189" s="4"/>
    </row>
    <row r="190" spans="2:13" ht="17.45" customHeight="1">
      <c r="B190" s="4"/>
      <c r="I190" s="4"/>
      <c r="J190" s="4"/>
      <c r="K190" s="4"/>
      <c r="L190" s="5"/>
      <c r="M190" s="4"/>
    </row>
    <row r="191" spans="2:13" ht="17.45" customHeight="1">
      <c r="I191" s="4"/>
      <c r="J191" s="4"/>
      <c r="K191" s="4"/>
      <c r="L191" s="5"/>
      <c r="M191" s="4"/>
    </row>
    <row r="192" spans="2:13" ht="17.45" customHeight="1">
      <c r="I192" s="4"/>
      <c r="J192" s="4"/>
      <c r="K192" s="4"/>
      <c r="L192" s="5"/>
      <c r="M192" s="4"/>
    </row>
    <row r="193" spans="9:13" ht="17.45" customHeight="1">
      <c r="I193" s="4"/>
      <c r="J193" s="4"/>
      <c r="K193" s="4"/>
      <c r="L193" s="5"/>
      <c r="M193" s="4"/>
    </row>
    <row r="194" spans="9:13" ht="17.45" customHeight="1">
      <c r="I194" s="4"/>
      <c r="J194" s="4"/>
      <c r="K194" s="4"/>
      <c r="L194" s="5"/>
      <c r="M194" s="4"/>
    </row>
    <row r="195" spans="9:13" ht="17.45" customHeight="1">
      <c r="I195" s="4"/>
      <c r="J195" s="4"/>
      <c r="K195" s="4"/>
      <c r="L195" s="5"/>
      <c r="M195" s="4"/>
    </row>
    <row r="196" spans="9:13" ht="17.45" customHeight="1">
      <c r="I196" s="4"/>
      <c r="J196" s="4"/>
      <c r="K196" s="4"/>
      <c r="L196" s="5"/>
      <c r="M196" s="4"/>
    </row>
    <row r="197" spans="9:13" ht="17.45" customHeight="1">
      <c r="I197" s="4"/>
      <c r="J197" s="4"/>
      <c r="K197" s="4"/>
      <c r="L197" s="5"/>
      <c r="M197" s="4"/>
    </row>
    <row r="198" spans="9:13" ht="17.45" customHeight="1">
      <c r="I198" s="4"/>
    </row>
    <row r="199" spans="9:13" ht="17.45" customHeight="1">
      <c r="I199" s="4"/>
    </row>
    <row r="200" spans="9:13" ht="17.45" customHeight="1">
      <c r="I200" s="4"/>
    </row>
    <row r="201" spans="9:13" ht="17.45" customHeight="1">
      <c r="I201" s="4"/>
    </row>
    <row r="202" spans="9:13" ht="17.45" customHeight="1">
      <c r="I202" s="4"/>
    </row>
  </sheetData>
  <mergeCells count="35">
    <mergeCell ref="B2:N2"/>
    <mergeCell ref="N9:N10"/>
    <mergeCell ref="K9:K10"/>
    <mergeCell ref="L9:L10"/>
    <mergeCell ref="I6:K6"/>
    <mergeCell ref="B6:D6"/>
    <mergeCell ref="C7:D7"/>
    <mergeCell ref="M9:M10"/>
    <mergeCell ref="B7:B11"/>
    <mergeCell ref="N4:N5"/>
    <mergeCell ref="M4:M5"/>
    <mergeCell ref="L4:L5"/>
    <mergeCell ref="I30:I40"/>
    <mergeCell ref="J31:J40"/>
    <mergeCell ref="C8:C11"/>
    <mergeCell ref="B3:D3"/>
    <mergeCell ref="I3:K3"/>
    <mergeCell ref="B4:D4"/>
    <mergeCell ref="I4:K4"/>
    <mergeCell ref="G4:G5"/>
    <mergeCell ref="F4:F5"/>
    <mergeCell ref="E4:E5"/>
    <mergeCell ref="F61:F67"/>
    <mergeCell ref="F68:F69"/>
    <mergeCell ref="F41:F48"/>
    <mergeCell ref="F39:F40"/>
    <mergeCell ref="C13:C17"/>
    <mergeCell ref="C19:C21"/>
    <mergeCell ref="F49:F55"/>
    <mergeCell ref="F56:F60"/>
    <mergeCell ref="O4:O5"/>
    <mergeCell ref="O9:O10"/>
    <mergeCell ref="H4:H5"/>
    <mergeCell ref="O11:O12"/>
    <mergeCell ref="O13:O14"/>
  </mergeCells>
  <phoneticPr fontId="2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F8CBAC"/>
  </sheetPr>
  <dimension ref="B2:AC102"/>
  <sheetViews>
    <sheetView showGridLines="0" view="pageBreakPreview" zoomScaleNormal="115" zoomScaleSheetLayoutView="100" workbookViewId="0">
      <pane xSplit="4" ySplit="7" topLeftCell="E50" activePane="bottomRight" state="frozen"/>
      <selection activeCell="C45" sqref="C45"/>
      <selection pane="topRight" activeCell="C45" sqref="C45"/>
      <selection pane="bottomLeft" activeCell="C45" sqref="C45"/>
      <selection pane="bottomRight" activeCell="AC1" sqref="AC1:AC1048576"/>
    </sheetView>
  </sheetViews>
  <sheetFormatPr defaultColWidth="8.875" defaultRowHeight="12"/>
  <cols>
    <col min="1" max="1" width="0.75" style="19" customWidth="1"/>
    <col min="2" max="2" width="11.375" style="19" customWidth="1"/>
    <col min="3" max="4" width="12.75" style="19" customWidth="1"/>
    <col min="5" max="5" width="14.625" style="35" customWidth="1"/>
    <col min="6" max="6" width="14.75" style="19" customWidth="1"/>
    <col min="7" max="8" width="14.625" style="35" customWidth="1"/>
    <col min="9" max="9" width="3.125" style="353" customWidth="1"/>
    <col min="10" max="11" width="3.125" style="323" customWidth="1"/>
    <col min="12" max="12" width="5.125" style="323" customWidth="1"/>
    <col min="13" max="15" width="3.375" style="323" customWidth="1"/>
    <col min="16" max="16" width="0.625" style="323" customWidth="1"/>
    <col min="17" max="17" width="2.25" style="323" customWidth="1"/>
    <col min="18" max="18" width="1.875" style="323" customWidth="1"/>
    <col min="19" max="19" width="6.75" style="323" customWidth="1"/>
    <col min="20" max="20" width="3.125" style="323" customWidth="1"/>
    <col min="21" max="21" width="7.5" style="323" customWidth="1"/>
    <col min="22" max="24" width="3.125" style="323" customWidth="1"/>
    <col min="25" max="25" width="9.5" style="323" customWidth="1"/>
    <col min="26" max="26" width="9.5" style="323" hidden="1" customWidth="1"/>
    <col min="27" max="27" width="9.5" style="323" customWidth="1"/>
    <col min="28" max="28" width="12.375" style="433" customWidth="1"/>
    <col min="29" max="29" width="13.75" style="20" customWidth="1"/>
    <col min="30" max="259" width="9" style="19"/>
    <col min="260" max="260" width="0.75" style="19" customWidth="1"/>
    <col min="261" max="261" width="11.375" style="19" customWidth="1"/>
    <col min="262" max="263" width="12.75" style="19" customWidth="1"/>
    <col min="264" max="264" width="14.75" style="19" customWidth="1"/>
    <col min="265" max="266" width="14.625" style="19" customWidth="1"/>
    <col min="267" max="269" width="3.125" style="19" customWidth="1"/>
    <col min="270" max="270" width="5.125" style="19" customWidth="1"/>
    <col min="271" max="273" width="3.375" style="19" customWidth="1"/>
    <col min="274" max="274" width="4.875" style="19" customWidth="1"/>
    <col min="275" max="275" width="5.625" style="19" customWidth="1"/>
    <col min="276" max="276" width="1.875" style="19" customWidth="1"/>
    <col min="277" max="277" width="6.75" style="19" customWidth="1"/>
    <col min="278" max="279" width="1.875" style="19" customWidth="1"/>
    <col min="280" max="280" width="4.375" style="19" customWidth="1"/>
    <col min="281" max="281" width="1.875" style="19" customWidth="1"/>
    <col min="282" max="282" width="3.625" style="19" customWidth="1"/>
    <col min="283" max="283" width="11.875" style="19" customWidth="1"/>
    <col min="284" max="284" width="10.5" style="19" customWidth="1"/>
    <col min="285" max="285" width="13.75" style="19" customWidth="1"/>
    <col min="286" max="515" width="9" style="19"/>
    <col min="516" max="516" width="0.75" style="19" customWidth="1"/>
    <col min="517" max="517" width="11.375" style="19" customWidth="1"/>
    <col min="518" max="519" width="12.75" style="19" customWidth="1"/>
    <col min="520" max="520" width="14.75" style="19" customWidth="1"/>
    <col min="521" max="522" width="14.625" style="19" customWidth="1"/>
    <col min="523" max="525" width="3.125" style="19" customWidth="1"/>
    <col min="526" max="526" width="5.125" style="19" customWidth="1"/>
    <col min="527" max="529" width="3.375" style="19" customWidth="1"/>
    <col min="530" max="530" width="4.875" style="19" customWidth="1"/>
    <col min="531" max="531" width="5.625" style="19" customWidth="1"/>
    <col min="532" max="532" width="1.875" style="19" customWidth="1"/>
    <col min="533" max="533" width="6.75" style="19" customWidth="1"/>
    <col min="534" max="535" width="1.875" style="19" customWidth="1"/>
    <col min="536" max="536" width="4.375" style="19" customWidth="1"/>
    <col min="537" max="537" width="1.875" style="19" customWidth="1"/>
    <col min="538" max="538" width="3.625" style="19" customWidth="1"/>
    <col min="539" max="539" width="11.875" style="19" customWidth="1"/>
    <col min="540" max="540" width="10.5" style="19" customWidth="1"/>
    <col min="541" max="541" width="13.75" style="19" customWidth="1"/>
    <col min="542" max="771" width="9" style="19"/>
    <col min="772" max="772" width="0.75" style="19" customWidth="1"/>
    <col min="773" max="773" width="11.375" style="19" customWidth="1"/>
    <col min="774" max="775" width="12.75" style="19" customWidth="1"/>
    <col min="776" max="776" width="14.75" style="19" customWidth="1"/>
    <col min="777" max="778" width="14.625" style="19" customWidth="1"/>
    <col min="779" max="781" width="3.125" style="19" customWidth="1"/>
    <col min="782" max="782" width="5.125" style="19" customWidth="1"/>
    <col min="783" max="785" width="3.375" style="19" customWidth="1"/>
    <col min="786" max="786" width="4.875" style="19" customWidth="1"/>
    <col min="787" max="787" width="5.625" style="19" customWidth="1"/>
    <col min="788" max="788" width="1.875" style="19" customWidth="1"/>
    <col min="789" max="789" width="6.75" style="19" customWidth="1"/>
    <col min="790" max="791" width="1.875" style="19" customWidth="1"/>
    <col min="792" max="792" width="4.375" style="19" customWidth="1"/>
    <col min="793" max="793" width="1.875" style="19" customWidth="1"/>
    <col min="794" max="794" width="3.625" style="19" customWidth="1"/>
    <col min="795" max="795" width="11.875" style="19" customWidth="1"/>
    <col min="796" max="796" width="10.5" style="19" customWidth="1"/>
    <col min="797" max="797" width="13.75" style="19" customWidth="1"/>
    <col min="798" max="1027" width="9" style="19"/>
    <col min="1028" max="1028" width="0.75" style="19" customWidth="1"/>
    <col min="1029" max="1029" width="11.375" style="19" customWidth="1"/>
    <col min="1030" max="1031" width="12.75" style="19" customWidth="1"/>
    <col min="1032" max="1032" width="14.75" style="19" customWidth="1"/>
    <col min="1033" max="1034" width="14.625" style="19" customWidth="1"/>
    <col min="1035" max="1037" width="3.125" style="19" customWidth="1"/>
    <col min="1038" max="1038" width="5.125" style="19" customWidth="1"/>
    <col min="1039" max="1041" width="3.375" style="19" customWidth="1"/>
    <col min="1042" max="1042" width="4.875" style="19" customWidth="1"/>
    <col min="1043" max="1043" width="5.625" style="19" customWidth="1"/>
    <col min="1044" max="1044" width="1.875" style="19" customWidth="1"/>
    <col min="1045" max="1045" width="6.75" style="19" customWidth="1"/>
    <col min="1046" max="1047" width="1.875" style="19" customWidth="1"/>
    <col min="1048" max="1048" width="4.375" style="19" customWidth="1"/>
    <col min="1049" max="1049" width="1.875" style="19" customWidth="1"/>
    <col min="1050" max="1050" width="3.625" style="19" customWidth="1"/>
    <col min="1051" max="1051" width="11.875" style="19" customWidth="1"/>
    <col min="1052" max="1052" width="10.5" style="19" customWidth="1"/>
    <col min="1053" max="1053" width="13.75" style="19" customWidth="1"/>
    <col min="1054" max="1283" width="9" style="19"/>
    <col min="1284" max="1284" width="0.75" style="19" customWidth="1"/>
    <col min="1285" max="1285" width="11.375" style="19" customWidth="1"/>
    <col min="1286" max="1287" width="12.75" style="19" customWidth="1"/>
    <col min="1288" max="1288" width="14.75" style="19" customWidth="1"/>
    <col min="1289" max="1290" width="14.625" style="19" customWidth="1"/>
    <col min="1291" max="1293" width="3.125" style="19" customWidth="1"/>
    <col min="1294" max="1294" width="5.125" style="19" customWidth="1"/>
    <col min="1295" max="1297" width="3.375" style="19" customWidth="1"/>
    <col min="1298" max="1298" width="4.875" style="19" customWidth="1"/>
    <col min="1299" max="1299" width="5.625" style="19" customWidth="1"/>
    <col min="1300" max="1300" width="1.875" style="19" customWidth="1"/>
    <col min="1301" max="1301" width="6.75" style="19" customWidth="1"/>
    <col min="1302" max="1303" width="1.875" style="19" customWidth="1"/>
    <col min="1304" max="1304" width="4.375" style="19" customWidth="1"/>
    <col min="1305" max="1305" width="1.875" style="19" customWidth="1"/>
    <col min="1306" max="1306" width="3.625" style="19" customWidth="1"/>
    <col min="1307" max="1307" width="11.875" style="19" customWidth="1"/>
    <col min="1308" max="1308" width="10.5" style="19" customWidth="1"/>
    <col min="1309" max="1309" width="13.75" style="19" customWidth="1"/>
    <col min="1310" max="1539" width="9" style="19"/>
    <col min="1540" max="1540" width="0.75" style="19" customWidth="1"/>
    <col min="1541" max="1541" width="11.375" style="19" customWidth="1"/>
    <col min="1542" max="1543" width="12.75" style="19" customWidth="1"/>
    <col min="1544" max="1544" width="14.75" style="19" customWidth="1"/>
    <col min="1545" max="1546" width="14.625" style="19" customWidth="1"/>
    <col min="1547" max="1549" width="3.125" style="19" customWidth="1"/>
    <col min="1550" max="1550" width="5.125" style="19" customWidth="1"/>
    <col min="1551" max="1553" width="3.375" style="19" customWidth="1"/>
    <col min="1554" max="1554" width="4.875" style="19" customWidth="1"/>
    <col min="1555" max="1555" width="5.625" style="19" customWidth="1"/>
    <col min="1556" max="1556" width="1.875" style="19" customWidth="1"/>
    <col min="1557" max="1557" width="6.75" style="19" customWidth="1"/>
    <col min="1558" max="1559" width="1.875" style="19" customWidth="1"/>
    <col min="1560" max="1560" width="4.375" style="19" customWidth="1"/>
    <col min="1561" max="1561" width="1.875" style="19" customWidth="1"/>
    <col min="1562" max="1562" width="3.625" style="19" customWidth="1"/>
    <col min="1563" max="1563" width="11.875" style="19" customWidth="1"/>
    <col min="1564" max="1564" width="10.5" style="19" customWidth="1"/>
    <col min="1565" max="1565" width="13.75" style="19" customWidth="1"/>
    <col min="1566" max="1795" width="9" style="19"/>
    <col min="1796" max="1796" width="0.75" style="19" customWidth="1"/>
    <col min="1797" max="1797" width="11.375" style="19" customWidth="1"/>
    <col min="1798" max="1799" width="12.75" style="19" customWidth="1"/>
    <col min="1800" max="1800" width="14.75" style="19" customWidth="1"/>
    <col min="1801" max="1802" width="14.625" style="19" customWidth="1"/>
    <col min="1803" max="1805" width="3.125" style="19" customWidth="1"/>
    <col min="1806" max="1806" width="5.125" style="19" customWidth="1"/>
    <col min="1807" max="1809" width="3.375" style="19" customWidth="1"/>
    <col min="1810" max="1810" width="4.875" style="19" customWidth="1"/>
    <col min="1811" max="1811" width="5.625" style="19" customWidth="1"/>
    <col min="1812" max="1812" width="1.875" style="19" customWidth="1"/>
    <col min="1813" max="1813" width="6.75" style="19" customWidth="1"/>
    <col min="1814" max="1815" width="1.875" style="19" customWidth="1"/>
    <col min="1816" max="1816" width="4.375" style="19" customWidth="1"/>
    <col min="1817" max="1817" width="1.875" style="19" customWidth="1"/>
    <col min="1818" max="1818" width="3.625" style="19" customWidth="1"/>
    <col min="1819" max="1819" width="11.875" style="19" customWidth="1"/>
    <col min="1820" max="1820" width="10.5" style="19" customWidth="1"/>
    <col min="1821" max="1821" width="13.75" style="19" customWidth="1"/>
    <col min="1822" max="2051" width="9" style="19"/>
    <col min="2052" max="2052" width="0.75" style="19" customWidth="1"/>
    <col min="2053" max="2053" width="11.375" style="19" customWidth="1"/>
    <col min="2054" max="2055" width="12.75" style="19" customWidth="1"/>
    <col min="2056" max="2056" width="14.75" style="19" customWidth="1"/>
    <col min="2057" max="2058" width="14.625" style="19" customWidth="1"/>
    <col min="2059" max="2061" width="3.125" style="19" customWidth="1"/>
    <col min="2062" max="2062" width="5.125" style="19" customWidth="1"/>
    <col min="2063" max="2065" width="3.375" style="19" customWidth="1"/>
    <col min="2066" max="2066" width="4.875" style="19" customWidth="1"/>
    <col min="2067" max="2067" width="5.625" style="19" customWidth="1"/>
    <col min="2068" max="2068" width="1.875" style="19" customWidth="1"/>
    <col min="2069" max="2069" width="6.75" style="19" customWidth="1"/>
    <col min="2070" max="2071" width="1.875" style="19" customWidth="1"/>
    <col min="2072" max="2072" width="4.375" style="19" customWidth="1"/>
    <col min="2073" max="2073" width="1.875" style="19" customWidth="1"/>
    <col min="2074" max="2074" width="3.625" style="19" customWidth="1"/>
    <col min="2075" max="2075" width="11.875" style="19" customWidth="1"/>
    <col min="2076" max="2076" width="10.5" style="19" customWidth="1"/>
    <col min="2077" max="2077" width="13.75" style="19" customWidth="1"/>
    <col min="2078" max="2307" width="9" style="19"/>
    <col min="2308" max="2308" width="0.75" style="19" customWidth="1"/>
    <col min="2309" max="2309" width="11.375" style="19" customWidth="1"/>
    <col min="2310" max="2311" width="12.75" style="19" customWidth="1"/>
    <col min="2312" max="2312" width="14.75" style="19" customWidth="1"/>
    <col min="2313" max="2314" width="14.625" style="19" customWidth="1"/>
    <col min="2315" max="2317" width="3.125" style="19" customWidth="1"/>
    <col min="2318" max="2318" width="5.125" style="19" customWidth="1"/>
    <col min="2319" max="2321" width="3.375" style="19" customWidth="1"/>
    <col min="2322" max="2322" width="4.875" style="19" customWidth="1"/>
    <col min="2323" max="2323" width="5.625" style="19" customWidth="1"/>
    <col min="2324" max="2324" width="1.875" style="19" customWidth="1"/>
    <col min="2325" max="2325" width="6.75" style="19" customWidth="1"/>
    <col min="2326" max="2327" width="1.875" style="19" customWidth="1"/>
    <col min="2328" max="2328" width="4.375" style="19" customWidth="1"/>
    <col min="2329" max="2329" width="1.875" style="19" customWidth="1"/>
    <col min="2330" max="2330" width="3.625" style="19" customWidth="1"/>
    <col min="2331" max="2331" width="11.875" style="19" customWidth="1"/>
    <col min="2332" max="2332" width="10.5" style="19" customWidth="1"/>
    <col min="2333" max="2333" width="13.75" style="19" customWidth="1"/>
    <col min="2334" max="2563" width="9" style="19"/>
    <col min="2564" max="2564" width="0.75" style="19" customWidth="1"/>
    <col min="2565" max="2565" width="11.375" style="19" customWidth="1"/>
    <col min="2566" max="2567" width="12.75" style="19" customWidth="1"/>
    <col min="2568" max="2568" width="14.75" style="19" customWidth="1"/>
    <col min="2569" max="2570" width="14.625" style="19" customWidth="1"/>
    <col min="2571" max="2573" width="3.125" style="19" customWidth="1"/>
    <col min="2574" max="2574" width="5.125" style="19" customWidth="1"/>
    <col min="2575" max="2577" width="3.375" style="19" customWidth="1"/>
    <col min="2578" max="2578" width="4.875" style="19" customWidth="1"/>
    <col min="2579" max="2579" width="5.625" style="19" customWidth="1"/>
    <col min="2580" max="2580" width="1.875" style="19" customWidth="1"/>
    <col min="2581" max="2581" width="6.75" style="19" customWidth="1"/>
    <col min="2582" max="2583" width="1.875" style="19" customWidth="1"/>
    <col min="2584" max="2584" width="4.375" style="19" customWidth="1"/>
    <col min="2585" max="2585" width="1.875" style="19" customWidth="1"/>
    <col min="2586" max="2586" width="3.625" style="19" customWidth="1"/>
    <col min="2587" max="2587" width="11.875" style="19" customWidth="1"/>
    <col min="2588" max="2588" width="10.5" style="19" customWidth="1"/>
    <col min="2589" max="2589" width="13.75" style="19" customWidth="1"/>
    <col min="2590" max="2819" width="9" style="19"/>
    <col min="2820" max="2820" width="0.75" style="19" customWidth="1"/>
    <col min="2821" max="2821" width="11.375" style="19" customWidth="1"/>
    <col min="2822" max="2823" width="12.75" style="19" customWidth="1"/>
    <col min="2824" max="2824" width="14.75" style="19" customWidth="1"/>
    <col min="2825" max="2826" width="14.625" style="19" customWidth="1"/>
    <col min="2827" max="2829" width="3.125" style="19" customWidth="1"/>
    <col min="2830" max="2830" width="5.125" style="19" customWidth="1"/>
    <col min="2831" max="2833" width="3.375" style="19" customWidth="1"/>
    <col min="2834" max="2834" width="4.875" style="19" customWidth="1"/>
    <col min="2835" max="2835" width="5.625" style="19" customWidth="1"/>
    <col min="2836" max="2836" width="1.875" style="19" customWidth="1"/>
    <col min="2837" max="2837" width="6.75" style="19" customWidth="1"/>
    <col min="2838" max="2839" width="1.875" style="19" customWidth="1"/>
    <col min="2840" max="2840" width="4.375" style="19" customWidth="1"/>
    <col min="2841" max="2841" width="1.875" style="19" customWidth="1"/>
    <col min="2842" max="2842" width="3.625" style="19" customWidth="1"/>
    <col min="2843" max="2843" width="11.875" style="19" customWidth="1"/>
    <col min="2844" max="2844" width="10.5" style="19" customWidth="1"/>
    <col min="2845" max="2845" width="13.75" style="19" customWidth="1"/>
    <col min="2846" max="3075" width="9" style="19"/>
    <col min="3076" max="3076" width="0.75" style="19" customWidth="1"/>
    <col min="3077" max="3077" width="11.375" style="19" customWidth="1"/>
    <col min="3078" max="3079" width="12.75" style="19" customWidth="1"/>
    <col min="3080" max="3080" width="14.75" style="19" customWidth="1"/>
    <col min="3081" max="3082" width="14.625" style="19" customWidth="1"/>
    <col min="3083" max="3085" width="3.125" style="19" customWidth="1"/>
    <col min="3086" max="3086" width="5.125" style="19" customWidth="1"/>
    <col min="3087" max="3089" width="3.375" style="19" customWidth="1"/>
    <col min="3090" max="3090" width="4.875" style="19" customWidth="1"/>
    <col min="3091" max="3091" width="5.625" style="19" customWidth="1"/>
    <col min="3092" max="3092" width="1.875" style="19" customWidth="1"/>
    <col min="3093" max="3093" width="6.75" style="19" customWidth="1"/>
    <col min="3094" max="3095" width="1.875" style="19" customWidth="1"/>
    <col min="3096" max="3096" width="4.375" style="19" customWidth="1"/>
    <col min="3097" max="3097" width="1.875" style="19" customWidth="1"/>
    <col min="3098" max="3098" width="3.625" style="19" customWidth="1"/>
    <col min="3099" max="3099" width="11.875" style="19" customWidth="1"/>
    <col min="3100" max="3100" width="10.5" style="19" customWidth="1"/>
    <col min="3101" max="3101" width="13.75" style="19" customWidth="1"/>
    <col min="3102" max="3331" width="9" style="19"/>
    <col min="3332" max="3332" width="0.75" style="19" customWidth="1"/>
    <col min="3333" max="3333" width="11.375" style="19" customWidth="1"/>
    <col min="3334" max="3335" width="12.75" style="19" customWidth="1"/>
    <col min="3336" max="3336" width="14.75" style="19" customWidth="1"/>
    <col min="3337" max="3338" width="14.625" style="19" customWidth="1"/>
    <col min="3339" max="3341" width="3.125" style="19" customWidth="1"/>
    <col min="3342" max="3342" width="5.125" style="19" customWidth="1"/>
    <col min="3343" max="3345" width="3.375" style="19" customWidth="1"/>
    <col min="3346" max="3346" width="4.875" style="19" customWidth="1"/>
    <col min="3347" max="3347" width="5.625" style="19" customWidth="1"/>
    <col min="3348" max="3348" width="1.875" style="19" customWidth="1"/>
    <col min="3349" max="3349" width="6.75" style="19" customWidth="1"/>
    <col min="3350" max="3351" width="1.875" style="19" customWidth="1"/>
    <col min="3352" max="3352" width="4.375" style="19" customWidth="1"/>
    <col min="3353" max="3353" width="1.875" style="19" customWidth="1"/>
    <col min="3354" max="3354" width="3.625" style="19" customWidth="1"/>
    <col min="3355" max="3355" width="11.875" style="19" customWidth="1"/>
    <col min="3356" max="3356" width="10.5" style="19" customWidth="1"/>
    <col min="3357" max="3357" width="13.75" style="19" customWidth="1"/>
    <col min="3358" max="3587" width="9" style="19"/>
    <col min="3588" max="3588" width="0.75" style="19" customWidth="1"/>
    <col min="3589" max="3589" width="11.375" style="19" customWidth="1"/>
    <col min="3590" max="3591" width="12.75" style="19" customWidth="1"/>
    <col min="3592" max="3592" width="14.75" style="19" customWidth="1"/>
    <col min="3593" max="3594" width="14.625" style="19" customWidth="1"/>
    <col min="3595" max="3597" width="3.125" style="19" customWidth="1"/>
    <col min="3598" max="3598" width="5.125" style="19" customWidth="1"/>
    <col min="3599" max="3601" width="3.375" style="19" customWidth="1"/>
    <col min="3602" max="3602" width="4.875" style="19" customWidth="1"/>
    <col min="3603" max="3603" width="5.625" style="19" customWidth="1"/>
    <col min="3604" max="3604" width="1.875" style="19" customWidth="1"/>
    <col min="3605" max="3605" width="6.75" style="19" customWidth="1"/>
    <col min="3606" max="3607" width="1.875" style="19" customWidth="1"/>
    <col min="3608" max="3608" width="4.375" style="19" customWidth="1"/>
    <col min="3609" max="3609" width="1.875" style="19" customWidth="1"/>
    <col min="3610" max="3610" width="3.625" style="19" customWidth="1"/>
    <col min="3611" max="3611" width="11.875" style="19" customWidth="1"/>
    <col min="3612" max="3612" width="10.5" style="19" customWidth="1"/>
    <col min="3613" max="3613" width="13.75" style="19" customWidth="1"/>
    <col min="3614" max="3843" width="9" style="19"/>
    <col min="3844" max="3844" width="0.75" style="19" customWidth="1"/>
    <col min="3845" max="3845" width="11.375" style="19" customWidth="1"/>
    <col min="3846" max="3847" width="12.75" style="19" customWidth="1"/>
    <col min="3848" max="3848" width="14.75" style="19" customWidth="1"/>
    <col min="3849" max="3850" width="14.625" style="19" customWidth="1"/>
    <col min="3851" max="3853" width="3.125" style="19" customWidth="1"/>
    <col min="3854" max="3854" width="5.125" style="19" customWidth="1"/>
    <col min="3855" max="3857" width="3.375" style="19" customWidth="1"/>
    <col min="3858" max="3858" width="4.875" style="19" customWidth="1"/>
    <col min="3859" max="3859" width="5.625" style="19" customWidth="1"/>
    <col min="3860" max="3860" width="1.875" style="19" customWidth="1"/>
    <col min="3861" max="3861" width="6.75" style="19" customWidth="1"/>
    <col min="3862" max="3863" width="1.875" style="19" customWidth="1"/>
    <col min="3864" max="3864" width="4.375" style="19" customWidth="1"/>
    <col min="3865" max="3865" width="1.875" style="19" customWidth="1"/>
    <col min="3866" max="3866" width="3.625" style="19" customWidth="1"/>
    <col min="3867" max="3867" width="11.875" style="19" customWidth="1"/>
    <col min="3868" max="3868" width="10.5" style="19" customWidth="1"/>
    <col min="3869" max="3869" width="13.75" style="19" customWidth="1"/>
    <col min="3870" max="4099" width="9" style="19"/>
    <col min="4100" max="4100" width="0.75" style="19" customWidth="1"/>
    <col min="4101" max="4101" width="11.375" style="19" customWidth="1"/>
    <col min="4102" max="4103" width="12.75" style="19" customWidth="1"/>
    <col min="4104" max="4104" width="14.75" style="19" customWidth="1"/>
    <col min="4105" max="4106" width="14.625" style="19" customWidth="1"/>
    <col min="4107" max="4109" width="3.125" style="19" customWidth="1"/>
    <col min="4110" max="4110" width="5.125" style="19" customWidth="1"/>
    <col min="4111" max="4113" width="3.375" style="19" customWidth="1"/>
    <col min="4114" max="4114" width="4.875" style="19" customWidth="1"/>
    <col min="4115" max="4115" width="5.625" style="19" customWidth="1"/>
    <col min="4116" max="4116" width="1.875" style="19" customWidth="1"/>
    <col min="4117" max="4117" width="6.75" style="19" customWidth="1"/>
    <col min="4118" max="4119" width="1.875" style="19" customWidth="1"/>
    <col min="4120" max="4120" width="4.375" style="19" customWidth="1"/>
    <col min="4121" max="4121" width="1.875" style="19" customWidth="1"/>
    <col min="4122" max="4122" width="3.625" style="19" customWidth="1"/>
    <col min="4123" max="4123" width="11.875" style="19" customWidth="1"/>
    <col min="4124" max="4124" width="10.5" style="19" customWidth="1"/>
    <col min="4125" max="4125" width="13.75" style="19" customWidth="1"/>
    <col min="4126" max="4355" width="9" style="19"/>
    <col min="4356" max="4356" width="0.75" style="19" customWidth="1"/>
    <col min="4357" max="4357" width="11.375" style="19" customWidth="1"/>
    <col min="4358" max="4359" width="12.75" style="19" customWidth="1"/>
    <col min="4360" max="4360" width="14.75" style="19" customWidth="1"/>
    <col min="4361" max="4362" width="14.625" style="19" customWidth="1"/>
    <col min="4363" max="4365" width="3.125" style="19" customWidth="1"/>
    <col min="4366" max="4366" width="5.125" style="19" customWidth="1"/>
    <col min="4367" max="4369" width="3.375" style="19" customWidth="1"/>
    <col min="4370" max="4370" width="4.875" style="19" customWidth="1"/>
    <col min="4371" max="4371" width="5.625" style="19" customWidth="1"/>
    <col min="4372" max="4372" width="1.875" style="19" customWidth="1"/>
    <col min="4373" max="4373" width="6.75" style="19" customWidth="1"/>
    <col min="4374" max="4375" width="1.875" style="19" customWidth="1"/>
    <col min="4376" max="4376" width="4.375" style="19" customWidth="1"/>
    <col min="4377" max="4377" width="1.875" style="19" customWidth="1"/>
    <col min="4378" max="4378" width="3.625" style="19" customWidth="1"/>
    <col min="4379" max="4379" width="11.875" style="19" customWidth="1"/>
    <col min="4380" max="4380" width="10.5" style="19" customWidth="1"/>
    <col min="4381" max="4381" width="13.75" style="19" customWidth="1"/>
    <col min="4382" max="4611" width="9" style="19"/>
    <col min="4612" max="4612" width="0.75" style="19" customWidth="1"/>
    <col min="4613" max="4613" width="11.375" style="19" customWidth="1"/>
    <col min="4614" max="4615" width="12.75" style="19" customWidth="1"/>
    <col min="4616" max="4616" width="14.75" style="19" customWidth="1"/>
    <col min="4617" max="4618" width="14.625" style="19" customWidth="1"/>
    <col min="4619" max="4621" width="3.125" style="19" customWidth="1"/>
    <col min="4622" max="4622" width="5.125" style="19" customWidth="1"/>
    <col min="4623" max="4625" width="3.375" style="19" customWidth="1"/>
    <col min="4626" max="4626" width="4.875" style="19" customWidth="1"/>
    <col min="4627" max="4627" width="5.625" style="19" customWidth="1"/>
    <col min="4628" max="4628" width="1.875" style="19" customWidth="1"/>
    <col min="4629" max="4629" width="6.75" style="19" customWidth="1"/>
    <col min="4630" max="4631" width="1.875" style="19" customWidth="1"/>
    <col min="4632" max="4632" width="4.375" style="19" customWidth="1"/>
    <col min="4633" max="4633" width="1.875" style="19" customWidth="1"/>
    <col min="4634" max="4634" width="3.625" style="19" customWidth="1"/>
    <col min="4635" max="4635" width="11.875" style="19" customWidth="1"/>
    <col min="4636" max="4636" width="10.5" style="19" customWidth="1"/>
    <col min="4637" max="4637" width="13.75" style="19" customWidth="1"/>
    <col min="4638" max="4867" width="9" style="19"/>
    <col min="4868" max="4868" width="0.75" style="19" customWidth="1"/>
    <col min="4869" max="4869" width="11.375" style="19" customWidth="1"/>
    <col min="4870" max="4871" width="12.75" style="19" customWidth="1"/>
    <col min="4872" max="4872" width="14.75" style="19" customWidth="1"/>
    <col min="4873" max="4874" width="14.625" style="19" customWidth="1"/>
    <col min="4875" max="4877" width="3.125" style="19" customWidth="1"/>
    <col min="4878" max="4878" width="5.125" style="19" customWidth="1"/>
    <col min="4879" max="4881" width="3.375" style="19" customWidth="1"/>
    <col min="4882" max="4882" width="4.875" style="19" customWidth="1"/>
    <col min="4883" max="4883" width="5.625" style="19" customWidth="1"/>
    <col min="4884" max="4884" width="1.875" style="19" customWidth="1"/>
    <col min="4885" max="4885" width="6.75" style="19" customWidth="1"/>
    <col min="4886" max="4887" width="1.875" style="19" customWidth="1"/>
    <col min="4888" max="4888" width="4.375" style="19" customWidth="1"/>
    <col min="4889" max="4889" width="1.875" style="19" customWidth="1"/>
    <col min="4890" max="4890" width="3.625" style="19" customWidth="1"/>
    <col min="4891" max="4891" width="11.875" style="19" customWidth="1"/>
    <col min="4892" max="4892" width="10.5" style="19" customWidth="1"/>
    <col min="4893" max="4893" width="13.75" style="19" customWidth="1"/>
    <col min="4894" max="5123" width="9" style="19"/>
    <col min="5124" max="5124" width="0.75" style="19" customWidth="1"/>
    <col min="5125" max="5125" width="11.375" style="19" customWidth="1"/>
    <col min="5126" max="5127" width="12.75" style="19" customWidth="1"/>
    <col min="5128" max="5128" width="14.75" style="19" customWidth="1"/>
    <col min="5129" max="5130" width="14.625" style="19" customWidth="1"/>
    <col min="5131" max="5133" width="3.125" style="19" customWidth="1"/>
    <col min="5134" max="5134" width="5.125" style="19" customWidth="1"/>
    <col min="5135" max="5137" width="3.375" style="19" customWidth="1"/>
    <col min="5138" max="5138" width="4.875" style="19" customWidth="1"/>
    <col min="5139" max="5139" width="5.625" style="19" customWidth="1"/>
    <col min="5140" max="5140" width="1.875" style="19" customWidth="1"/>
    <col min="5141" max="5141" width="6.75" style="19" customWidth="1"/>
    <col min="5142" max="5143" width="1.875" style="19" customWidth="1"/>
    <col min="5144" max="5144" width="4.375" style="19" customWidth="1"/>
    <col min="5145" max="5145" width="1.875" style="19" customWidth="1"/>
    <col min="5146" max="5146" width="3.625" style="19" customWidth="1"/>
    <col min="5147" max="5147" width="11.875" style="19" customWidth="1"/>
    <col min="5148" max="5148" width="10.5" style="19" customWidth="1"/>
    <col min="5149" max="5149" width="13.75" style="19" customWidth="1"/>
    <col min="5150" max="5379" width="9" style="19"/>
    <col min="5380" max="5380" width="0.75" style="19" customWidth="1"/>
    <col min="5381" max="5381" width="11.375" style="19" customWidth="1"/>
    <col min="5382" max="5383" width="12.75" style="19" customWidth="1"/>
    <col min="5384" max="5384" width="14.75" style="19" customWidth="1"/>
    <col min="5385" max="5386" width="14.625" style="19" customWidth="1"/>
    <col min="5387" max="5389" width="3.125" style="19" customWidth="1"/>
    <col min="5390" max="5390" width="5.125" style="19" customWidth="1"/>
    <col min="5391" max="5393" width="3.375" style="19" customWidth="1"/>
    <col min="5394" max="5394" width="4.875" style="19" customWidth="1"/>
    <col min="5395" max="5395" width="5.625" style="19" customWidth="1"/>
    <col min="5396" max="5396" width="1.875" style="19" customWidth="1"/>
    <col min="5397" max="5397" width="6.75" style="19" customWidth="1"/>
    <col min="5398" max="5399" width="1.875" style="19" customWidth="1"/>
    <col min="5400" max="5400" width="4.375" style="19" customWidth="1"/>
    <col min="5401" max="5401" width="1.875" style="19" customWidth="1"/>
    <col min="5402" max="5402" width="3.625" style="19" customWidth="1"/>
    <col min="5403" max="5403" width="11.875" style="19" customWidth="1"/>
    <col min="5404" max="5404" width="10.5" style="19" customWidth="1"/>
    <col min="5405" max="5405" width="13.75" style="19" customWidth="1"/>
    <col min="5406" max="5635" width="9" style="19"/>
    <col min="5636" max="5636" width="0.75" style="19" customWidth="1"/>
    <col min="5637" max="5637" width="11.375" style="19" customWidth="1"/>
    <col min="5638" max="5639" width="12.75" style="19" customWidth="1"/>
    <col min="5640" max="5640" width="14.75" style="19" customWidth="1"/>
    <col min="5641" max="5642" width="14.625" style="19" customWidth="1"/>
    <col min="5643" max="5645" width="3.125" style="19" customWidth="1"/>
    <col min="5646" max="5646" width="5.125" style="19" customWidth="1"/>
    <col min="5647" max="5649" width="3.375" style="19" customWidth="1"/>
    <col min="5650" max="5650" width="4.875" style="19" customWidth="1"/>
    <col min="5651" max="5651" width="5.625" style="19" customWidth="1"/>
    <col min="5652" max="5652" width="1.875" style="19" customWidth="1"/>
    <col min="5653" max="5653" width="6.75" style="19" customWidth="1"/>
    <col min="5654" max="5655" width="1.875" style="19" customWidth="1"/>
    <col min="5656" max="5656" width="4.375" style="19" customWidth="1"/>
    <col min="5657" max="5657" width="1.875" style="19" customWidth="1"/>
    <col min="5658" max="5658" width="3.625" style="19" customWidth="1"/>
    <col min="5659" max="5659" width="11.875" style="19" customWidth="1"/>
    <col min="5660" max="5660" width="10.5" style="19" customWidth="1"/>
    <col min="5661" max="5661" width="13.75" style="19" customWidth="1"/>
    <col min="5662" max="5891" width="9" style="19"/>
    <col min="5892" max="5892" width="0.75" style="19" customWidth="1"/>
    <col min="5893" max="5893" width="11.375" style="19" customWidth="1"/>
    <col min="5894" max="5895" width="12.75" style="19" customWidth="1"/>
    <col min="5896" max="5896" width="14.75" style="19" customWidth="1"/>
    <col min="5897" max="5898" width="14.625" style="19" customWidth="1"/>
    <col min="5899" max="5901" width="3.125" style="19" customWidth="1"/>
    <col min="5902" max="5902" width="5.125" style="19" customWidth="1"/>
    <col min="5903" max="5905" width="3.375" style="19" customWidth="1"/>
    <col min="5906" max="5906" width="4.875" style="19" customWidth="1"/>
    <col min="5907" max="5907" width="5.625" style="19" customWidth="1"/>
    <col min="5908" max="5908" width="1.875" style="19" customWidth="1"/>
    <col min="5909" max="5909" width="6.75" style="19" customWidth="1"/>
    <col min="5910" max="5911" width="1.875" style="19" customWidth="1"/>
    <col min="5912" max="5912" width="4.375" style="19" customWidth="1"/>
    <col min="5913" max="5913" width="1.875" style="19" customWidth="1"/>
    <col min="5914" max="5914" width="3.625" style="19" customWidth="1"/>
    <col min="5915" max="5915" width="11.875" style="19" customWidth="1"/>
    <col min="5916" max="5916" width="10.5" style="19" customWidth="1"/>
    <col min="5917" max="5917" width="13.75" style="19" customWidth="1"/>
    <col min="5918" max="6147" width="9" style="19"/>
    <col min="6148" max="6148" width="0.75" style="19" customWidth="1"/>
    <col min="6149" max="6149" width="11.375" style="19" customWidth="1"/>
    <col min="6150" max="6151" width="12.75" style="19" customWidth="1"/>
    <col min="6152" max="6152" width="14.75" style="19" customWidth="1"/>
    <col min="6153" max="6154" width="14.625" style="19" customWidth="1"/>
    <col min="6155" max="6157" width="3.125" style="19" customWidth="1"/>
    <col min="6158" max="6158" width="5.125" style="19" customWidth="1"/>
    <col min="6159" max="6161" width="3.375" style="19" customWidth="1"/>
    <col min="6162" max="6162" width="4.875" style="19" customWidth="1"/>
    <col min="6163" max="6163" width="5.625" style="19" customWidth="1"/>
    <col min="6164" max="6164" width="1.875" style="19" customWidth="1"/>
    <col min="6165" max="6165" width="6.75" style="19" customWidth="1"/>
    <col min="6166" max="6167" width="1.875" style="19" customWidth="1"/>
    <col min="6168" max="6168" width="4.375" style="19" customWidth="1"/>
    <col min="6169" max="6169" width="1.875" style="19" customWidth="1"/>
    <col min="6170" max="6170" width="3.625" style="19" customWidth="1"/>
    <col min="6171" max="6171" width="11.875" style="19" customWidth="1"/>
    <col min="6172" max="6172" width="10.5" style="19" customWidth="1"/>
    <col min="6173" max="6173" width="13.75" style="19" customWidth="1"/>
    <col min="6174" max="6403" width="9" style="19"/>
    <col min="6404" max="6404" width="0.75" style="19" customWidth="1"/>
    <col min="6405" max="6405" width="11.375" style="19" customWidth="1"/>
    <col min="6406" max="6407" width="12.75" style="19" customWidth="1"/>
    <col min="6408" max="6408" width="14.75" style="19" customWidth="1"/>
    <col min="6409" max="6410" width="14.625" style="19" customWidth="1"/>
    <col min="6411" max="6413" width="3.125" style="19" customWidth="1"/>
    <col min="6414" max="6414" width="5.125" style="19" customWidth="1"/>
    <col min="6415" max="6417" width="3.375" style="19" customWidth="1"/>
    <col min="6418" max="6418" width="4.875" style="19" customWidth="1"/>
    <col min="6419" max="6419" width="5.625" style="19" customWidth="1"/>
    <col min="6420" max="6420" width="1.875" style="19" customWidth="1"/>
    <col min="6421" max="6421" width="6.75" style="19" customWidth="1"/>
    <col min="6422" max="6423" width="1.875" style="19" customWidth="1"/>
    <col min="6424" max="6424" width="4.375" style="19" customWidth="1"/>
    <col min="6425" max="6425" width="1.875" style="19" customWidth="1"/>
    <col min="6426" max="6426" width="3.625" style="19" customWidth="1"/>
    <col min="6427" max="6427" width="11.875" style="19" customWidth="1"/>
    <col min="6428" max="6428" width="10.5" style="19" customWidth="1"/>
    <col min="6429" max="6429" width="13.75" style="19" customWidth="1"/>
    <col min="6430" max="6659" width="9" style="19"/>
    <col min="6660" max="6660" width="0.75" style="19" customWidth="1"/>
    <col min="6661" max="6661" width="11.375" style="19" customWidth="1"/>
    <col min="6662" max="6663" width="12.75" style="19" customWidth="1"/>
    <col min="6664" max="6664" width="14.75" style="19" customWidth="1"/>
    <col min="6665" max="6666" width="14.625" style="19" customWidth="1"/>
    <col min="6667" max="6669" width="3.125" style="19" customWidth="1"/>
    <col min="6670" max="6670" width="5.125" style="19" customWidth="1"/>
    <col min="6671" max="6673" width="3.375" style="19" customWidth="1"/>
    <col min="6674" max="6674" width="4.875" style="19" customWidth="1"/>
    <col min="6675" max="6675" width="5.625" style="19" customWidth="1"/>
    <col min="6676" max="6676" width="1.875" style="19" customWidth="1"/>
    <col min="6677" max="6677" width="6.75" style="19" customWidth="1"/>
    <col min="6678" max="6679" width="1.875" style="19" customWidth="1"/>
    <col min="6680" max="6680" width="4.375" style="19" customWidth="1"/>
    <col min="6681" max="6681" width="1.875" style="19" customWidth="1"/>
    <col min="6682" max="6682" width="3.625" style="19" customWidth="1"/>
    <col min="6683" max="6683" width="11.875" style="19" customWidth="1"/>
    <col min="6684" max="6684" width="10.5" style="19" customWidth="1"/>
    <col min="6685" max="6685" width="13.75" style="19" customWidth="1"/>
    <col min="6686" max="6915" width="9" style="19"/>
    <col min="6916" max="6916" width="0.75" style="19" customWidth="1"/>
    <col min="6917" max="6917" width="11.375" style="19" customWidth="1"/>
    <col min="6918" max="6919" width="12.75" style="19" customWidth="1"/>
    <col min="6920" max="6920" width="14.75" style="19" customWidth="1"/>
    <col min="6921" max="6922" width="14.625" style="19" customWidth="1"/>
    <col min="6923" max="6925" width="3.125" style="19" customWidth="1"/>
    <col min="6926" max="6926" width="5.125" style="19" customWidth="1"/>
    <col min="6927" max="6929" width="3.375" style="19" customWidth="1"/>
    <col min="6930" max="6930" width="4.875" style="19" customWidth="1"/>
    <col min="6931" max="6931" width="5.625" style="19" customWidth="1"/>
    <col min="6932" max="6932" width="1.875" style="19" customWidth="1"/>
    <col min="6933" max="6933" width="6.75" style="19" customWidth="1"/>
    <col min="6934" max="6935" width="1.875" style="19" customWidth="1"/>
    <col min="6936" max="6936" width="4.375" style="19" customWidth="1"/>
    <col min="6937" max="6937" width="1.875" style="19" customWidth="1"/>
    <col min="6938" max="6938" width="3.625" style="19" customWidth="1"/>
    <col min="6939" max="6939" width="11.875" style="19" customWidth="1"/>
    <col min="6940" max="6940" width="10.5" style="19" customWidth="1"/>
    <col min="6941" max="6941" width="13.75" style="19" customWidth="1"/>
    <col min="6942" max="7171" width="9" style="19"/>
    <col min="7172" max="7172" width="0.75" style="19" customWidth="1"/>
    <col min="7173" max="7173" width="11.375" style="19" customWidth="1"/>
    <col min="7174" max="7175" width="12.75" style="19" customWidth="1"/>
    <col min="7176" max="7176" width="14.75" style="19" customWidth="1"/>
    <col min="7177" max="7178" width="14.625" style="19" customWidth="1"/>
    <col min="7179" max="7181" width="3.125" style="19" customWidth="1"/>
    <col min="7182" max="7182" width="5.125" style="19" customWidth="1"/>
    <col min="7183" max="7185" width="3.375" style="19" customWidth="1"/>
    <col min="7186" max="7186" width="4.875" style="19" customWidth="1"/>
    <col min="7187" max="7187" width="5.625" style="19" customWidth="1"/>
    <col min="7188" max="7188" width="1.875" style="19" customWidth="1"/>
    <col min="7189" max="7189" width="6.75" style="19" customWidth="1"/>
    <col min="7190" max="7191" width="1.875" style="19" customWidth="1"/>
    <col min="7192" max="7192" width="4.375" style="19" customWidth="1"/>
    <col min="7193" max="7193" width="1.875" style="19" customWidth="1"/>
    <col min="7194" max="7194" width="3.625" style="19" customWidth="1"/>
    <col min="7195" max="7195" width="11.875" style="19" customWidth="1"/>
    <col min="7196" max="7196" width="10.5" style="19" customWidth="1"/>
    <col min="7197" max="7197" width="13.75" style="19" customWidth="1"/>
    <col min="7198" max="7427" width="9" style="19"/>
    <col min="7428" max="7428" width="0.75" style="19" customWidth="1"/>
    <col min="7429" max="7429" width="11.375" style="19" customWidth="1"/>
    <col min="7430" max="7431" width="12.75" style="19" customWidth="1"/>
    <col min="7432" max="7432" width="14.75" style="19" customWidth="1"/>
    <col min="7433" max="7434" width="14.625" style="19" customWidth="1"/>
    <col min="7435" max="7437" width="3.125" style="19" customWidth="1"/>
    <col min="7438" max="7438" width="5.125" style="19" customWidth="1"/>
    <col min="7439" max="7441" width="3.375" style="19" customWidth="1"/>
    <col min="7442" max="7442" width="4.875" style="19" customWidth="1"/>
    <col min="7443" max="7443" width="5.625" style="19" customWidth="1"/>
    <col min="7444" max="7444" width="1.875" style="19" customWidth="1"/>
    <col min="7445" max="7445" width="6.75" style="19" customWidth="1"/>
    <col min="7446" max="7447" width="1.875" style="19" customWidth="1"/>
    <col min="7448" max="7448" width="4.375" style="19" customWidth="1"/>
    <col min="7449" max="7449" width="1.875" style="19" customWidth="1"/>
    <col min="7450" max="7450" width="3.625" style="19" customWidth="1"/>
    <col min="7451" max="7451" width="11.875" style="19" customWidth="1"/>
    <col min="7452" max="7452" width="10.5" style="19" customWidth="1"/>
    <col min="7453" max="7453" width="13.75" style="19" customWidth="1"/>
    <col min="7454" max="7683" width="9" style="19"/>
    <col min="7684" max="7684" width="0.75" style="19" customWidth="1"/>
    <col min="7685" max="7685" width="11.375" style="19" customWidth="1"/>
    <col min="7686" max="7687" width="12.75" style="19" customWidth="1"/>
    <col min="7688" max="7688" width="14.75" style="19" customWidth="1"/>
    <col min="7689" max="7690" width="14.625" style="19" customWidth="1"/>
    <col min="7691" max="7693" width="3.125" style="19" customWidth="1"/>
    <col min="7694" max="7694" width="5.125" style="19" customWidth="1"/>
    <col min="7695" max="7697" width="3.375" style="19" customWidth="1"/>
    <col min="7698" max="7698" width="4.875" style="19" customWidth="1"/>
    <col min="7699" max="7699" width="5.625" style="19" customWidth="1"/>
    <col min="7700" max="7700" width="1.875" style="19" customWidth="1"/>
    <col min="7701" max="7701" width="6.75" style="19" customWidth="1"/>
    <col min="7702" max="7703" width="1.875" style="19" customWidth="1"/>
    <col min="7704" max="7704" width="4.375" style="19" customWidth="1"/>
    <col min="7705" max="7705" width="1.875" style="19" customWidth="1"/>
    <col min="7706" max="7706" width="3.625" style="19" customWidth="1"/>
    <col min="7707" max="7707" width="11.875" style="19" customWidth="1"/>
    <col min="7708" max="7708" width="10.5" style="19" customWidth="1"/>
    <col min="7709" max="7709" width="13.75" style="19" customWidth="1"/>
    <col min="7710" max="7939" width="9" style="19"/>
    <col min="7940" max="7940" width="0.75" style="19" customWidth="1"/>
    <col min="7941" max="7941" width="11.375" style="19" customWidth="1"/>
    <col min="7942" max="7943" width="12.75" style="19" customWidth="1"/>
    <col min="7944" max="7944" width="14.75" style="19" customWidth="1"/>
    <col min="7945" max="7946" width="14.625" style="19" customWidth="1"/>
    <col min="7947" max="7949" width="3.125" style="19" customWidth="1"/>
    <col min="7950" max="7950" width="5.125" style="19" customWidth="1"/>
    <col min="7951" max="7953" width="3.375" style="19" customWidth="1"/>
    <col min="7954" max="7954" width="4.875" style="19" customWidth="1"/>
    <col min="7955" max="7955" width="5.625" style="19" customWidth="1"/>
    <col min="7956" max="7956" width="1.875" style="19" customWidth="1"/>
    <col min="7957" max="7957" width="6.75" style="19" customWidth="1"/>
    <col min="7958" max="7959" width="1.875" style="19" customWidth="1"/>
    <col min="7960" max="7960" width="4.375" style="19" customWidth="1"/>
    <col min="7961" max="7961" width="1.875" style="19" customWidth="1"/>
    <col min="7962" max="7962" width="3.625" style="19" customWidth="1"/>
    <col min="7963" max="7963" width="11.875" style="19" customWidth="1"/>
    <col min="7964" max="7964" width="10.5" style="19" customWidth="1"/>
    <col min="7965" max="7965" width="13.75" style="19" customWidth="1"/>
    <col min="7966" max="8195" width="9" style="19"/>
    <col min="8196" max="8196" width="0.75" style="19" customWidth="1"/>
    <col min="8197" max="8197" width="11.375" style="19" customWidth="1"/>
    <col min="8198" max="8199" width="12.75" style="19" customWidth="1"/>
    <col min="8200" max="8200" width="14.75" style="19" customWidth="1"/>
    <col min="8201" max="8202" width="14.625" style="19" customWidth="1"/>
    <col min="8203" max="8205" width="3.125" style="19" customWidth="1"/>
    <col min="8206" max="8206" width="5.125" style="19" customWidth="1"/>
    <col min="8207" max="8209" width="3.375" style="19" customWidth="1"/>
    <col min="8210" max="8210" width="4.875" style="19" customWidth="1"/>
    <col min="8211" max="8211" width="5.625" style="19" customWidth="1"/>
    <col min="8212" max="8212" width="1.875" style="19" customWidth="1"/>
    <col min="8213" max="8213" width="6.75" style="19" customWidth="1"/>
    <col min="8214" max="8215" width="1.875" style="19" customWidth="1"/>
    <col min="8216" max="8216" width="4.375" style="19" customWidth="1"/>
    <col min="8217" max="8217" width="1.875" style="19" customWidth="1"/>
    <col min="8218" max="8218" width="3.625" style="19" customWidth="1"/>
    <col min="8219" max="8219" width="11.875" style="19" customWidth="1"/>
    <col min="8220" max="8220" width="10.5" style="19" customWidth="1"/>
    <col min="8221" max="8221" width="13.75" style="19" customWidth="1"/>
    <col min="8222" max="8451" width="9" style="19"/>
    <col min="8452" max="8452" width="0.75" style="19" customWidth="1"/>
    <col min="8453" max="8453" width="11.375" style="19" customWidth="1"/>
    <col min="8454" max="8455" width="12.75" style="19" customWidth="1"/>
    <col min="8456" max="8456" width="14.75" style="19" customWidth="1"/>
    <col min="8457" max="8458" width="14.625" style="19" customWidth="1"/>
    <col min="8459" max="8461" width="3.125" style="19" customWidth="1"/>
    <col min="8462" max="8462" width="5.125" style="19" customWidth="1"/>
    <col min="8463" max="8465" width="3.375" style="19" customWidth="1"/>
    <col min="8466" max="8466" width="4.875" style="19" customWidth="1"/>
    <col min="8467" max="8467" width="5.625" style="19" customWidth="1"/>
    <col min="8468" max="8468" width="1.875" style="19" customWidth="1"/>
    <col min="8469" max="8469" width="6.75" style="19" customWidth="1"/>
    <col min="8470" max="8471" width="1.875" style="19" customWidth="1"/>
    <col min="8472" max="8472" width="4.375" style="19" customWidth="1"/>
    <col min="8473" max="8473" width="1.875" style="19" customWidth="1"/>
    <col min="8474" max="8474" width="3.625" style="19" customWidth="1"/>
    <col min="8475" max="8475" width="11.875" style="19" customWidth="1"/>
    <col min="8476" max="8476" width="10.5" style="19" customWidth="1"/>
    <col min="8477" max="8477" width="13.75" style="19" customWidth="1"/>
    <col min="8478" max="8707" width="9" style="19"/>
    <col min="8708" max="8708" width="0.75" style="19" customWidth="1"/>
    <col min="8709" max="8709" width="11.375" style="19" customWidth="1"/>
    <col min="8710" max="8711" width="12.75" style="19" customWidth="1"/>
    <col min="8712" max="8712" width="14.75" style="19" customWidth="1"/>
    <col min="8713" max="8714" width="14.625" style="19" customWidth="1"/>
    <col min="8715" max="8717" width="3.125" style="19" customWidth="1"/>
    <col min="8718" max="8718" width="5.125" style="19" customWidth="1"/>
    <col min="8719" max="8721" width="3.375" style="19" customWidth="1"/>
    <col min="8722" max="8722" width="4.875" style="19" customWidth="1"/>
    <col min="8723" max="8723" width="5.625" style="19" customWidth="1"/>
    <col min="8724" max="8724" width="1.875" style="19" customWidth="1"/>
    <col min="8725" max="8725" width="6.75" style="19" customWidth="1"/>
    <col min="8726" max="8727" width="1.875" style="19" customWidth="1"/>
    <col min="8728" max="8728" width="4.375" style="19" customWidth="1"/>
    <col min="8729" max="8729" width="1.875" style="19" customWidth="1"/>
    <col min="8730" max="8730" width="3.625" style="19" customWidth="1"/>
    <col min="8731" max="8731" width="11.875" style="19" customWidth="1"/>
    <col min="8732" max="8732" width="10.5" style="19" customWidth="1"/>
    <col min="8733" max="8733" width="13.75" style="19" customWidth="1"/>
    <col min="8734" max="8963" width="9" style="19"/>
    <col min="8964" max="8964" width="0.75" style="19" customWidth="1"/>
    <col min="8965" max="8965" width="11.375" style="19" customWidth="1"/>
    <col min="8966" max="8967" width="12.75" style="19" customWidth="1"/>
    <col min="8968" max="8968" width="14.75" style="19" customWidth="1"/>
    <col min="8969" max="8970" width="14.625" style="19" customWidth="1"/>
    <col min="8971" max="8973" width="3.125" style="19" customWidth="1"/>
    <col min="8974" max="8974" width="5.125" style="19" customWidth="1"/>
    <col min="8975" max="8977" width="3.375" style="19" customWidth="1"/>
    <col min="8978" max="8978" width="4.875" style="19" customWidth="1"/>
    <col min="8979" max="8979" width="5.625" style="19" customWidth="1"/>
    <col min="8980" max="8980" width="1.875" style="19" customWidth="1"/>
    <col min="8981" max="8981" width="6.75" style="19" customWidth="1"/>
    <col min="8982" max="8983" width="1.875" style="19" customWidth="1"/>
    <col min="8984" max="8984" width="4.375" style="19" customWidth="1"/>
    <col min="8985" max="8985" width="1.875" style="19" customWidth="1"/>
    <col min="8986" max="8986" width="3.625" style="19" customWidth="1"/>
    <col min="8987" max="8987" width="11.875" style="19" customWidth="1"/>
    <col min="8988" max="8988" width="10.5" style="19" customWidth="1"/>
    <col min="8989" max="8989" width="13.75" style="19" customWidth="1"/>
    <col min="8990" max="9219" width="9" style="19"/>
    <col min="9220" max="9220" width="0.75" style="19" customWidth="1"/>
    <col min="9221" max="9221" width="11.375" style="19" customWidth="1"/>
    <col min="9222" max="9223" width="12.75" style="19" customWidth="1"/>
    <col min="9224" max="9224" width="14.75" style="19" customWidth="1"/>
    <col min="9225" max="9226" width="14.625" style="19" customWidth="1"/>
    <col min="9227" max="9229" width="3.125" style="19" customWidth="1"/>
    <col min="9230" max="9230" width="5.125" style="19" customWidth="1"/>
    <col min="9231" max="9233" width="3.375" style="19" customWidth="1"/>
    <col min="9234" max="9234" width="4.875" style="19" customWidth="1"/>
    <col min="9235" max="9235" width="5.625" style="19" customWidth="1"/>
    <col min="9236" max="9236" width="1.875" style="19" customWidth="1"/>
    <col min="9237" max="9237" width="6.75" style="19" customWidth="1"/>
    <col min="9238" max="9239" width="1.875" style="19" customWidth="1"/>
    <col min="9240" max="9240" width="4.375" style="19" customWidth="1"/>
    <col min="9241" max="9241" width="1.875" style="19" customWidth="1"/>
    <col min="9242" max="9242" width="3.625" style="19" customWidth="1"/>
    <col min="9243" max="9243" width="11.875" style="19" customWidth="1"/>
    <col min="9244" max="9244" width="10.5" style="19" customWidth="1"/>
    <col min="9245" max="9245" width="13.75" style="19" customWidth="1"/>
    <col min="9246" max="9475" width="9" style="19"/>
    <col min="9476" max="9476" width="0.75" style="19" customWidth="1"/>
    <col min="9477" max="9477" width="11.375" style="19" customWidth="1"/>
    <col min="9478" max="9479" width="12.75" style="19" customWidth="1"/>
    <col min="9480" max="9480" width="14.75" style="19" customWidth="1"/>
    <col min="9481" max="9482" width="14.625" style="19" customWidth="1"/>
    <col min="9483" max="9485" width="3.125" style="19" customWidth="1"/>
    <col min="9486" max="9486" width="5.125" style="19" customWidth="1"/>
    <col min="9487" max="9489" width="3.375" style="19" customWidth="1"/>
    <col min="9490" max="9490" width="4.875" style="19" customWidth="1"/>
    <col min="9491" max="9491" width="5.625" style="19" customWidth="1"/>
    <col min="9492" max="9492" width="1.875" style="19" customWidth="1"/>
    <col min="9493" max="9493" width="6.75" style="19" customWidth="1"/>
    <col min="9494" max="9495" width="1.875" style="19" customWidth="1"/>
    <col min="9496" max="9496" width="4.375" style="19" customWidth="1"/>
    <col min="9497" max="9497" width="1.875" style="19" customWidth="1"/>
    <col min="9498" max="9498" width="3.625" style="19" customWidth="1"/>
    <col min="9499" max="9499" width="11.875" style="19" customWidth="1"/>
    <col min="9500" max="9500" width="10.5" style="19" customWidth="1"/>
    <col min="9501" max="9501" width="13.75" style="19" customWidth="1"/>
    <col min="9502" max="9731" width="9" style="19"/>
    <col min="9732" max="9732" width="0.75" style="19" customWidth="1"/>
    <col min="9733" max="9733" width="11.375" style="19" customWidth="1"/>
    <col min="9734" max="9735" width="12.75" style="19" customWidth="1"/>
    <col min="9736" max="9736" width="14.75" style="19" customWidth="1"/>
    <col min="9737" max="9738" width="14.625" style="19" customWidth="1"/>
    <col min="9739" max="9741" width="3.125" style="19" customWidth="1"/>
    <col min="9742" max="9742" width="5.125" style="19" customWidth="1"/>
    <col min="9743" max="9745" width="3.375" style="19" customWidth="1"/>
    <col min="9746" max="9746" width="4.875" style="19" customWidth="1"/>
    <col min="9747" max="9747" width="5.625" style="19" customWidth="1"/>
    <col min="9748" max="9748" width="1.875" style="19" customWidth="1"/>
    <col min="9749" max="9749" width="6.75" style="19" customWidth="1"/>
    <col min="9750" max="9751" width="1.875" style="19" customWidth="1"/>
    <col min="9752" max="9752" width="4.375" style="19" customWidth="1"/>
    <col min="9753" max="9753" width="1.875" style="19" customWidth="1"/>
    <col min="9754" max="9754" width="3.625" style="19" customWidth="1"/>
    <col min="9755" max="9755" width="11.875" style="19" customWidth="1"/>
    <col min="9756" max="9756" width="10.5" style="19" customWidth="1"/>
    <col min="9757" max="9757" width="13.75" style="19" customWidth="1"/>
    <col min="9758" max="9987" width="9" style="19"/>
    <col min="9988" max="9988" width="0.75" style="19" customWidth="1"/>
    <col min="9989" max="9989" width="11.375" style="19" customWidth="1"/>
    <col min="9990" max="9991" width="12.75" style="19" customWidth="1"/>
    <col min="9992" max="9992" width="14.75" style="19" customWidth="1"/>
    <col min="9993" max="9994" width="14.625" style="19" customWidth="1"/>
    <col min="9995" max="9997" width="3.125" style="19" customWidth="1"/>
    <col min="9998" max="9998" width="5.125" style="19" customWidth="1"/>
    <col min="9999" max="10001" width="3.375" style="19" customWidth="1"/>
    <col min="10002" max="10002" width="4.875" style="19" customWidth="1"/>
    <col min="10003" max="10003" width="5.625" style="19" customWidth="1"/>
    <col min="10004" max="10004" width="1.875" style="19" customWidth="1"/>
    <col min="10005" max="10005" width="6.75" style="19" customWidth="1"/>
    <col min="10006" max="10007" width="1.875" style="19" customWidth="1"/>
    <col min="10008" max="10008" width="4.375" style="19" customWidth="1"/>
    <col min="10009" max="10009" width="1.875" style="19" customWidth="1"/>
    <col min="10010" max="10010" width="3.625" style="19" customWidth="1"/>
    <col min="10011" max="10011" width="11.875" style="19" customWidth="1"/>
    <col min="10012" max="10012" width="10.5" style="19" customWidth="1"/>
    <col min="10013" max="10013" width="13.75" style="19" customWidth="1"/>
    <col min="10014" max="10243" width="9" style="19"/>
    <col min="10244" max="10244" width="0.75" style="19" customWidth="1"/>
    <col min="10245" max="10245" width="11.375" style="19" customWidth="1"/>
    <col min="10246" max="10247" width="12.75" style="19" customWidth="1"/>
    <col min="10248" max="10248" width="14.75" style="19" customWidth="1"/>
    <col min="10249" max="10250" width="14.625" style="19" customWidth="1"/>
    <col min="10251" max="10253" width="3.125" style="19" customWidth="1"/>
    <col min="10254" max="10254" width="5.125" style="19" customWidth="1"/>
    <col min="10255" max="10257" width="3.375" style="19" customWidth="1"/>
    <col min="10258" max="10258" width="4.875" style="19" customWidth="1"/>
    <col min="10259" max="10259" width="5.625" style="19" customWidth="1"/>
    <col min="10260" max="10260" width="1.875" style="19" customWidth="1"/>
    <col min="10261" max="10261" width="6.75" style="19" customWidth="1"/>
    <col min="10262" max="10263" width="1.875" style="19" customWidth="1"/>
    <col min="10264" max="10264" width="4.375" style="19" customWidth="1"/>
    <col min="10265" max="10265" width="1.875" style="19" customWidth="1"/>
    <col min="10266" max="10266" width="3.625" style="19" customWidth="1"/>
    <col min="10267" max="10267" width="11.875" style="19" customWidth="1"/>
    <col min="10268" max="10268" width="10.5" style="19" customWidth="1"/>
    <col min="10269" max="10269" width="13.75" style="19" customWidth="1"/>
    <col min="10270" max="10499" width="9" style="19"/>
    <col min="10500" max="10500" width="0.75" style="19" customWidth="1"/>
    <col min="10501" max="10501" width="11.375" style="19" customWidth="1"/>
    <col min="10502" max="10503" width="12.75" style="19" customWidth="1"/>
    <col min="10504" max="10504" width="14.75" style="19" customWidth="1"/>
    <col min="10505" max="10506" width="14.625" style="19" customWidth="1"/>
    <col min="10507" max="10509" width="3.125" style="19" customWidth="1"/>
    <col min="10510" max="10510" width="5.125" style="19" customWidth="1"/>
    <col min="10511" max="10513" width="3.375" style="19" customWidth="1"/>
    <col min="10514" max="10514" width="4.875" style="19" customWidth="1"/>
    <col min="10515" max="10515" width="5.625" style="19" customWidth="1"/>
    <col min="10516" max="10516" width="1.875" style="19" customWidth="1"/>
    <col min="10517" max="10517" width="6.75" style="19" customWidth="1"/>
    <col min="10518" max="10519" width="1.875" style="19" customWidth="1"/>
    <col min="10520" max="10520" width="4.375" style="19" customWidth="1"/>
    <col min="10521" max="10521" width="1.875" style="19" customWidth="1"/>
    <col min="10522" max="10522" width="3.625" style="19" customWidth="1"/>
    <col min="10523" max="10523" width="11.875" style="19" customWidth="1"/>
    <col min="10524" max="10524" width="10.5" style="19" customWidth="1"/>
    <col min="10525" max="10525" width="13.75" style="19" customWidth="1"/>
    <col min="10526" max="10755" width="9" style="19"/>
    <col min="10756" max="10756" width="0.75" style="19" customWidth="1"/>
    <col min="10757" max="10757" width="11.375" style="19" customWidth="1"/>
    <col min="10758" max="10759" width="12.75" style="19" customWidth="1"/>
    <col min="10760" max="10760" width="14.75" style="19" customWidth="1"/>
    <col min="10761" max="10762" width="14.625" style="19" customWidth="1"/>
    <col min="10763" max="10765" width="3.125" style="19" customWidth="1"/>
    <col min="10766" max="10766" width="5.125" style="19" customWidth="1"/>
    <col min="10767" max="10769" width="3.375" style="19" customWidth="1"/>
    <col min="10770" max="10770" width="4.875" style="19" customWidth="1"/>
    <col min="10771" max="10771" width="5.625" style="19" customWidth="1"/>
    <col min="10772" max="10772" width="1.875" style="19" customWidth="1"/>
    <col min="10773" max="10773" width="6.75" style="19" customWidth="1"/>
    <col min="10774" max="10775" width="1.875" style="19" customWidth="1"/>
    <col min="10776" max="10776" width="4.375" style="19" customWidth="1"/>
    <col min="10777" max="10777" width="1.875" style="19" customWidth="1"/>
    <col min="10778" max="10778" width="3.625" style="19" customWidth="1"/>
    <col min="10779" max="10779" width="11.875" style="19" customWidth="1"/>
    <col min="10780" max="10780" width="10.5" style="19" customWidth="1"/>
    <col min="10781" max="10781" width="13.75" style="19" customWidth="1"/>
    <col min="10782" max="11011" width="9" style="19"/>
    <col min="11012" max="11012" width="0.75" style="19" customWidth="1"/>
    <col min="11013" max="11013" width="11.375" style="19" customWidth="1"/>
    <col min="11014" max="11015" width="12.75" style="19" customWidth="1"/>
    <col min="11016" max="11016" width="14.75" style="19" customWidth="1"/>
    <col min="11017" max="11018" width="14.625" style="19" customWidth="1"/>
    <col min="11019" max="11021" width="3.125" style="19" customWidth="1"/>
    <col min="11022" max="11022" width="5.125" style="19" customWidth="1"/>
    <col min="11023" max="11025" width="3.375" style="19" customWidth="1"/>
    <col min="11026" max="11026" width="4.875" style="19" customWidth="1"/>
    <col min="11027" max="11027" width="5.625" style="19" customWidth="1"/>
    <col min="11028" max="11028" width="1.875" style="19" customWidth="1"/>
    <col min="11029" max="11029" width="6.75" style="19" customWidth="1"/>
    <col min="11030" max="11031" width="1.875" style="19" customWidth="1"/>
    <col min="11032" max="11032" width="4.375" style="19" customWidth="1"/>
    <col min="11033" max="11033" width="1.875" style="19" customWidth="1"/>
    <col min="11034" max="11034" width="3.625" style="19" customWidth="1"/>
    <col min="11035" max="11035" width="11.875" style="19" customWidth="1"/>
    <col min="11036" max="11036" width="10.5" style="19" customWidth="1"/>
    <col min="11037" max="11037" width="13.75" style="19" customWidth="1"/>
    <col min="11038" max="11267" width="9" style="19"/>
    <col min="11268" max="11268" width="0.75" style="19" customWidth="1"/>
    <col min="11269" max="11269" width="11.375" style="19" customWidth="1"/>
    <col min="11270" max="11271" width="12.75" style="19" customWidth="1"/>
    <col min="11272" max="11272" width="14.75" style="19" customWidth="1"/>
    <col min="11273" max="11274" width="14.625" style="19" customWidth="1"/>
    <col min="11275" max="11277" width="3.125" style="19" customWidth="1"/>
    <col min="11278" max="11278" width="5.125" style="19" customWidth="1"/>
    <col min="11279" max="11281" width="3.375" style="19" customWidth="1"/>
    <col min="11282" max="11282" width="4.875" style="19" customWidth="1"/>
    <col min="11283" max="11283" width="5.625" style="19" customWidth="1"/>
    <col min="11284" max="11284" width="1.875" style="19" customWidth="1"/>
    <col min="11285" max="11285" width="6.75" style="19" customWidth="1"/>
    <col min="11286" max="11287" width="1.875" style="19" customWidth="1"/>
    <col min="11288" max="11288" width="4.375" style="19" customWidth="1"/>
    <col min="11289" max="11289" width="1.875" style="19" customWidth="1"/>
    <col min="11290" max="11290" width="3.625" style="19" customWidth="1"/>
    <col min="11291" max="11291" width="11.875" style="19" customWidth="1"/>
    <col min="11292" max="11292" width="10.5" style="19" customWidth="1"/>
    <col min="11293" max="11293" width="13.75" style="19" customWidth="1"/>
    <col min="11294" max="11523" width="9" style="19"/>
    <col min="11524" max="11524" width="0.75" style="19" customWidth="1"/>
    <col min="11525" max="11525" width="11.375" style="19" customWidth="1"/>
    <col min="11526" max="11527" width="12.75" style="19" customWidth="1"/>
    <col min="11528" max="11528" width="14.75" style="19" customWidth="1"/>
    <col min="11529" max="11530" width="14.625" style="19" customWidth="1"/>
    <col min="11531" max="11533" width="3.125" style="19" customWidth="1"/>
    <col min="11534" max="11534" width="5.125" style="19" customWidth="1"/>
    <col min="11535" max="11537" width="3.375" style="19" customWidth="1"/>
    <col min="11538" max="11538" width="4.875" style="19" customWidth="1"/>
    <col min="11539" max="11539" width="5.625" style="19" customWidth="1"/>
    <col min="11540" max="11540" width="1.875" style="19" customWidth="1"/>
    <col min="11541" max="11541" width="6.75" style="19" customWidth="1"/>
    <col min="11542" max="11543" width="1.875" style="19" customWidth="1"/>
    <col min="11544" max="11544" width="4.375" style="19" customWidth="1"/>
    <col min="11545" max="11545" width="1.875" style="19" customWidth="1"/>
    <col min="11546" max="11546" width="3.625" style="19" customWidth="1"/>
    <col min="11547" max="11547" width="11.875" style="19" customWidth="1"/>
    <col min="11548" max="11548" width="10.5" style="19" customWidth="1"/>
    <col min="11549" max="11549" width="13.75" style="19" customWidth="1"/>
    <col min="11550" max="11779" width="9" style="19"/>
    <col min="11780" max="11780" width="0.75" style="19" customWidth="1"/>
    <col min="11781" max="11781" width="11.375" style="19" customWidth="1"/>
    <col min="11782" max="11783" width="12.75" style="19" customWidth="1"/>
    <col min="11784" max="11784" width="14.75" style="19" customWidth="1"/>
    <col min="11785" max="11786" width="14.625" style="19" customWidth="1"/>
    <col min="11787" max="11789" width="3.125" style="19" customWidth="1"/>
    <col min="11790" max="11790" width="5.125" style="19" customWidth="1"/>
    <col min="11791" max="11793" width="3.375" style="19" customWidth="1"/>
    <col min="11794" max="11794" width="4.875" style="19" customWidth="1"/>
    <col min="11795" max="11795" width="5.625" style="19" customWidth="1"/>
    <col min="11796" max="11796" width="1.875" style="19" customWidth="1"/>
    <col min="11797" max="11797" width="6.75" style="19" customWidth="1"/>
    <col min="11798" max="11799" width="1.875" style="19" customWidth="1"/>
    <col min="11800" max="11800" width="4.375" style="19" customWidth="1"/>
    <col min="11801" max="11801" width="1.875" style="19" customWidth="1"/>
    <col min="11802" max="11802" width="3.625" style="19" customWidth="1"/>
    <col min="11803" max="11803" width="11.875" style="19" customWidth="1"/>
    <col min="11804" max="11804" width="10.5" style="19" customWidth="1"/>
    <col min="11805" max="11805" width="13.75" style="19" customWidth="1"/>
    <col min="11806" max="12035" width="9" style="19"/>
    <col min="12036" max="12036" width="0.75" style="19" customWidth="1"/>
    <col min="12037" max="12037" width="11.375" style="19" customWidth="1"/>
    <col min="12038" max="12039" width="12.75" style="19" customWidth="1"/>
    <col min="12040" max="12040" width="14.75" style="19" customWidth="1"/>
    <col min="12041" max="12042" width="14.625" style="19" customWidth="1"/>
    <col min="12043" max="12045" width="3.125" style="19" customWidth="1"/>
    <col min="12046" max="12046" width="5.125" style="19" customWidth="1"/>
    <col min="12047" max="12049" width="3.375" style="19" customWidth="1"/>
    <col min="12050" max="12050" width="4.875" style="19" customWidth="1"/>
    <col min="12051" max="12051" width="5.625" style="19" customWidth="1"/>
    <col min="12052" max="12052" width="1.875" style="19" customWidth="1"/>
    <col min="12053" max="12053" width="6.75" style="19" customWidth="1"/>
    <col min="12054" max="12055" width="1.875" style="19" customWidth="1"/>
    <col min="12056" max="12056" width="4.375" style="19" customWidth="1"/>
    <col min="12057" max="12057" width="1.875" style="19" customWidth="1"/>
    <col min="12058" max="12058" width="3.625" style="19" customWidth="1"/>
    <col min="12059" max="12059" width="11.875" style="19" customWidth="1"/>
    <col min="12060" max="12060" width="10.5" style="19" customWidth="1"/>
    <col min="12061" max="12061" width="13.75" style="19" customWidth="1"/>
    <col min="12062" max="12291" width="9" style="19"/>
    <col min="12292" max="12292" width="0.75" style="19" customWidth="1"/>
    <col min="12293" max="12293" width="11.375" style="19" customWidth="1"/>
    <col min="12294" max="12295" width="12.75" style="19" customWidth="1"/>
    <col min="12296" max="12296" width="14.75" style="19" customWidth="1"/>
    <col min="12297" max="12298" width="14.625" style="19" customWidth="1"/>
    <col min="12299" max="12301" width="3.125" style="19" customWidth="1"/>
    <col min="12302" max="12302" width="5.125" style="19" customWidth="1"/>
    <col min="12303" max="12305" width="3.375" style="19" customWidth="1"/>
    <col min="12306" max="12306" width="4.875" style="19" customWidth="1"/>
    <col min="12307" max="12307" width="5.625" style="19" customWidth="1"/>
    <col min="12308" max="12308" width="1.875" style="19" customWidth="1"/>
    <col min="12309" max="12309" width="6.75" style="19" customWidth="1"/>
    <col min="12310" max="12311" width="1.875" style="19" customWidth="1"/>
    <col min="12312" max="12312" width="4.375" style="19" customWidth="1"/>
    <col min="12313" max="12313" width="1.875" style="19" customWidth="1"/>
    <col min="12314" max="12314" width="3.625" style="19" customWidth="1"/>
    <col min="12315" max="12315" width="11.875" style="19" customWidth="1"/>
    <col min="12316" max="12316" width="10.5" style="19" customWidth="1"/>
    <col min="12317" max="12317" width="13.75" style="19" customWidth="1"/>
    <col min="12318" max="12547" width="9" style="19"/>
    <col min="12548" max="12548" width="0.75" style="19" customWidth="1"/>
    <col min="12549" max="12549" width="11.375" style="19" customWidth="1"/>
    <col min="12550" max="12551" width="12.75" style="19" customWidth="1"/>
    <col min="12552" max="12552" width="14.75" style="19" customWidth="1"/>
    <col min="12553" max="12554" width="14.625" style="19" customWidth="1"/>
    <col min="12555" max="12557" width="3.125" style="19" customWidth="1"/>
    <col min="12558" max="12558" width="5.125" style="19" customWidth="1"/>
    <col min="12559" max="12561" width="3.375" style="19" customWidth="1"/>
    <col min="12562" max="12562" width="4.875" style="19" customWidth="1"/>
    <col min="12563" max="12563" width="5.625" style="19" customWidth="1"/>
    <col min="12564" max="12564" width="1.875" style="19" customWidth="1"/>
    <col min="12565" max="12565" width="6.75" style="19" customWidth="1"/>
    <col min="12566" max="12567" width="1.875" style="19" customWidth="1"/>
    <col min="12568" max="12568" width="4.375" style="19" customWidth="1"/>
    <col min="12569" max="12569" width="1.875" style="19" customWidth="1"/>
    <col min="12570" max="12570" width="3.625" style="19" customWidth="1"/>
    <col min="12571" max="12571" width="11.875" style="19" customWidth="1"/>
    <col min="12572" max="12572" width="10.5" style="19" customWidth="1"/>
    <col min="12573" max="12573" width="13.75" style="19" customWidth="1"/>
    <col min="12574" max="12803" width="9" style="19"/>
    <col min="12804" max="12804" width="0.75" style="19" customWidth="1"/>
    <col min="12805" max="12805" width="11.375" style="19" customWidth="1"/>
    <col min="12806" max="12807" width="12.75" style="19" customWidth="1"/>
    <col min="12808" max="12808" width="14.75" style="19" customWidth="1"/>
    <col min="12809" max="12810" width="14.625" style="19" customWidth="1"/>
    <col min="12811" max="12813" width="3.125" style="19" customWidth="1"/>
    <col min="12814" max="12814" width="5.125" style="19" customWidth="1"/>
    <col min="12815" max="12817" width="3.375" style="19" customWidth="1"/>
    <col min="12818" max="12818" width="4.875" style="19" customWidth="1"/>
    <col min="12819" max="12819" width="5.625" style="19" customWidth="1"/>
    <col min="12820" max="12820" width="1.875" style="19" customWidth="1"/>
    <col min="12821" max="12821" width="6.75" style="19" customWidth="1"/>
    <col min="12822" max="12823" width="1.875" style="19" customWidth="1"/>
    <col min="12824" max="12824" width="4.375" style="19" customWidth="1"/>
    <col min="12825" max="12825" width="1.875" style="19" customWidth="1"/>
    <col min="12826" max="12826" width="3.625" style="19" customWidth="1"/>
    <col min="12827" max="12827" width="11.875" style="19" customWidth="1"/>
    <col min="12828" max="12828" width="10.5" style="19" customWidth="1"/>
    <col min="12829" max="12829" width="13.75" style="19" customWidth="1"/>
    <col min="12830" max="13059" width="9" style="19"/>
    <col min="13060" max="13060" width="0.75" style="19" customWidth="1"/>
    <col min="13061" max="13061" width="11.375" style="19" customWidth="1"/>
    <col min="13062" max="13063" width="12.75" style="19" customWidth="1"/>
    <col min="13064" max="13064" width="14.75" style="19" customWidth="1"/>
    <col min="13065" max="13066" width="14.625" style="19" customWidth="1"/>
    <col min="13067" max="13069" width="3.125" style="19" customWidth="1"/>
    <col min="13070" max="13070" width="5.125" style="19" customWidth="1"/>
    <col min="13071" max="13073" width="3.375" style="19" customWidth="1"/>
    <col min="13074" max="13074" width="4.875" style="19" customWidth="1"/>
    <col min="13075" max="13075" width="5.625" style="19" customWidth="1"/>
    <col min="13076" max="13076" width="1.875" style="19" customWidth="1"/>
    <col min="13077" max="13077" width="6.75" style="19" customWidth="1"/>
    <col min="13078" max="13079" width="1.875" style="19" customWidth="1"/>
    <col min="13080" max="13080" width="4.375" style="19" customWidth="1"/>
    <col min="13081" max="13081" width="1.875" style="19" customWidth="1"/>
    <col min="13082" max="13082" width="3.625" style="19" customWidth="1"/>
    <col min="13083" max="13083" width="11.875" style="19" customWidth="1"/>
    <col min="13084" max="13084" width="10.5" style="19" customWidth="1"/>
    <col min="13085" max="13085" width="13.75" style="19" customWidth="1"/>
    <col min="13086" max="13315" width="9" style="19"/>
    <col min="13316" max="13316" width="0.75" style="19" customWidth="1"/>
    <col min="13317" max="13317" width="11.375" style="19" customWidth="1"/>
    <col min="13318" max="13319" width="12.75" style="19" customWidth="1"/>
    <col min="13320" max="13320" width="14.75" style="19" customWidth="1"/>
    <col min="13321" max="13322" width="14.625" style="19" customWidth="1"/>
    <col min="13323" max="13325" width="3.125" style="19" customWidth="1"/>
    <col min="13326" max="13326" width="5.125" style="19" customWidth="1"/>
    <col min="13327" max="13329" width="3.375" style="19" customWidth="1"/>
    <col min="13330" max="13330" width="4.875" style="19" customWidth="1"/>
    <col min="13331" max="13331" width="5.625" style="19" customWidth="1"/>
    <col min="13332" max="13332" width="1.875" style="19" customWidth="1"/>
    <col min="13333" max="13333" width="6.75" style="19" customWidth="1"/>
    <col min="13334" max="13335" width="1.875" style="19" customWidth="1"/>
    <col min="13336" max="13336" width="4.375" style="19" customWidth="1"/>
    <col min="13337" max="13337" width="1.875" style="19" customWidth="1"/>
    <col min="13338" max="13338" width="3.625" style="19" customWidth="1"/>
    <col min="13339" max="13339" width="11.875" style="19" customWidth="1"/>
    <col min="13340" max="13340" width="10.5" style="19" customWidth="1"/>
    <col min="13341" max="13341" width="13.75" style="19" customWidth="1"/>
    <col min="13342" max="13571" width="9" style="19"/>
    <col min="13572" max="13572" width="0.75" style="19" customWidth="1"/>
    <col min="13573" max="13573" width="11.375" style="19" customWidth="1"/>
    <col min="13574" max="13575" width="12.75" style="19" customWidth="1"/>
    <col min="13576" max="13576" width="14.75" style="19" customWidth="1"/>
    <col min="13577" max="13578" width="14.625" style="19" customWidth="1"/>
    <col min="13579" max="13581" width="3.125" style="19" customWidth="1"/>
    <col min="13582" max="13582" width="5.125" style="19" customWidth="1"/>
    <col min="13583" max="13585" width="3.375" style="19" customWidth="1"/>
    <col min="13586" max="13586" width="4.875" style="19" customWidth="1"/>
    <col min="13587" max="13587" width="5.625" style="19" customWidth="1"/>
    <col min="13588" max="13588" width="1.875" style="19" customWidth="1"/>
    <col min="13589" max="13589" width="6.75" style="19" customWidth="1"/>
    <col min="13590" max="13591" width="1.875" style="19" customWidth="1"/>
    <col min="13592" max="13592" width="4.375" style="19" customWidth="1"/>
    <col min="13593" max="13593" width="1.875" style="19" customWidth="1"/>
    <col min="13594" max="13594" width="3.625" style="19" customWidth="1"/>
    <col min="13595" max="13595" width="11.875" style="19" customWidth="1"/>
    <col min="13596" max="13596" width="10.5" style="19" customWidth="1"/>
    <col min="13597" max="13597" width="13.75" style="19" customWidth="1"/>
    <col min="13598" max="13827" width="9" style="19"/>
    <col min="13828" max="13828" width="0.75" style="19" customWidth="1"/>
    <col min="13829" max="13829" width="11.375" style="19" customWidth="1"/>
    <col min="13830" max="13831" width="12.75" style="19" customWidth="1"/>
    <col min="13832" max="13832" width="14.75" style="19" customWidth="1"/>
    <col min="13833" max="13834" width="14.625" style="19" customWidth="1"/>
    <col min="13835" max="13837" width="3.125" style="19" customWidth="1"/>
    <col min="13838" max="13838" width="5.125" style="19" customWidth="1"/>
    <col min="13839" max="13841" width="3.375" style="19" customWidth="1"/>
    <col min="13842" max="13842" width="4.875" style="19" customWidth="1"/>
    <col min="13843" max="13843" width="5.625" style="19" customWidth="1"/>
    <col min="13844" max="13844" width="1.875" style="19" customWidth="1"/>
    <col min="13845" max="13845" width="6.75" style="19" customWidth="1"/>
    <col min="13846" max="13847" width="1.875" style="19" customWidth="1"/>
    <col min="13848" max="13848" width="4.375" style="19" customWidth="1"/>
    <col min="13849" max="13849" width="1.875" style="19" customWidth="1"/>
    <col min="13850" max="13850" width="3.625" style="19" customWidth="1"/>
    <col min="13851" max="13851" width="11.875" style="19" customWidth="1"/>
    <col min="13852" max="13852" width="10.5" style="19" customWidth="1"/>
    <col min="13853" max="13853" width="13.75" style="19" customWidth="1"/>
    <col min="13854" max="14083" width="9" style="19"/>
    <col min="14084" max="14084" width="0.75" style="19" customWidth="1"/>
    <col min="14085" max="14085" width="11.375" style="19" customWidth="1"/>
    <col min="14086" max="14087" width="12.75" style="19" customWidth="1"/>
    <col min="14088" max="14088" width="14.75" style="19" customWidth="1"/>
    <col min="14089" max="14090" width="14.625" style="19" customWidth="1"/>
    <col min="14091" max="14093" width="3.125" style="19" customWidth="1"/>
    <col min="14094" max="14094" width="5.125" style="19" customWidth="1"/>
    <col min="14095" max="14097" width="3.375" style="19" customWidth="1"/>
    <col min="14098" max="14098" width="4.875" style="19" customWidth="1"/>
    <col min="14099" max="14099" width="5.625" style="19" customWidth="1"/>
    <col min="14100" max="14100" width="1.875" style="19" customWidth="1"/>
    <col min="14101" max="14101" width="6.75" style="19" customWidth="1"/>
    <col min="14102" max="14103" width="1.875" style="19" customWidth="1"/>
    <col min="14104" max="14104" width="4.375" style="19" customWidth="1"/>
    <col min="14105" max="14105" width="1.875" style="19" customWidth="1"/>
    <col min="14106" max="14106" width="3.625" style="19" customWidth="1"/>
    <col min="14107" max="14107" width="11.875" style="19" customWidth="1"/>
    <col min="14108" max="14108" width="10.5" style="19" customWidth="1"/>
    <col min="14109" max="14109" width="13.75" style="19" customWidth="1"/>
    <col min="14110" max="14339" width="9" style="19"/>
    <col min="14340" max="14340" width="0.75" style="19" customWidth="1"/>
    <col min="14341" max="14341" width="11.375" style="19" customWidth="1"/>
    <col min="14342" max="14343" width="12.75" style="19" customWidth="1"/>
    <col min="14344" max="14344" width="14.75" style="19" customWidth="1"/>
    <col min="14345" max="14346" width="14.625" style="19" customWidth="1"/>
    <col min="14347" max="14349" width="3.125" style="19" customWidth="1"/>
    <col min="14350" max="14350" width="5.125" style="19" customWidth="1"/>
    <col min="14351" max="14353" width="3.375" style="19" customWidth="1"/>
    <col min="14354" max="14354" width="4.875" style="19" customWidth="1"/>
    <col min="14355" max="14355" width="5.625" style="19" customWidth="1"/>
    <col min="14356" max="14356" width="1.875" style="19" customWidth="1"/>
    <col min="14357" max="14357" width="6.75" style="19" customWidth="1"/>
    <col min="14358" max="14359" width="1.875" style="19" customWidth="1"/>
    <col min="14360" max="14360" width="4.375" style="19" customWidth="1"/>
    <col min="14361" max="14361" width="1.875" style="19" customWidth="1"/>
    <col min="14362" max="14362" width="3.625" style="19" customWidth="1"/>
    <col min="14363" max="14363" width="11.875" style="19" customWidth="1"/>
    <col min="14364" max="14364" width="10.5" style="19" customWidth="1"/>
    <col min="14365" max="14365" width="13.75" style="19" customWidth="1"/>
    <col min="14366" max="14595" width="9" style="19"/>
    <col min="14596" max="14596" width="0.75" style="19" customWidth="1"/>
    <col min="14597" max="14597" width="11.375" style="19" customWidth="1"/>
    <col min="14598" max="14599" width="12.75" style="19" customWidth="1"/>
    <col min="14600" max="14600" width="14.75" style="19" customWidth="1"/>
    <col min="14601" max="14602" width="14.625" style="19" customWidth="1"/>
    <col min="14603" max="14605" width="3.125" style="19" customWidth="1"/>
    <col min="14606" max="14606" width="5.125" style="19" customWidth="1"/>
    <col min="14607" max="14609" width="3.375" style="19" customWidth="1"/>
    <col min="14610" max="14610" width="4.875" style="19" customWidth="1"/>
    <col min="14611" max="14611" width="5.625" style="19" customWidth="1"/>
    <col min="14612" max="14612" width="1.875" style="19" customWidth="1"/>
    <col min="14613" max="14613" width="6.75" style="19" customWidth="1"/>
    <col min="14614" max="14615" width="1.875" style="19" customWidth="1"/>
    <col min="14616" max="14616" width="4.375" style="19" customWidth="1"/>
    <col min="14617" max="14617" width="1.875" style="19" customWidth="1"/>
    <col min="14618" max="14618" width="3.625" style="19" customWidth="1"/>
    <col min="14619" max="14619" width="11.875" style="19" customWidth="1"/>
    <col min="14620" max="14620" width="10.5" style="19" customWidth="1"/>
    <col min="14621" max="14621" width="13.75" style="19" customWidth="1"/>
    <col min="14622" max="14851" width="9" style="19"/>
    <col min="14852" max="14852" width="0.75" style="19" customWidth="1"/>
    <col min="14853" max="14853" width="11.375" style="19" customWidth="1"/>
    <col min="14854" max="14855" width="12.75" style="19" customWidth="1"/>
    <col min="14856" max="14856" width="14.75" style="19" customWidth="1"/>
    <col min="14857" max="14858" width="14.625" style="19" customWidth="1"/>
    <col min="14859" max="14861" width="3.125" style="19" customWidth="1"/>
    <col min="14862" max="14862" width="5.125" style="19" customWidth="1"/>
    <col min="14863" max="14865" width="3.375" style="19" customWidth="1"/>
    <col min="14866" max="14866" width="4.875" style="19" customWidth="1"/>
    <col min="14867" max="14867" width="5.625" style="19" customWidth="1"/>
    <col min="14868" max="14868" width="1.875" style="19" customWidth="1"/>
    <col min="14869" max="14869" width="6.75" style="19" customWidth="1"/>
    <col min="14870" max="14871" width="1.875" style="19" customWidth="1"/>
    <col min="14872" max="14872" width="4.375" style="19" customWidth="1"/>
    <col min="14873" max="14873" width="1.875" style="19" customWidth="1"/>
    <col min="14874" max="14874" width="3.625" style="19" customWidth="1"/>
    <col min="14875" max="14875" width="11.875" style="19" customWidth="1"/>
    <col min="14876" max="14876" width="10.5" style="19" customWidth="1"/>
    <col min="14877" max="14877" width="13.75" style="19" customWidth="1"/>
    <col min="14878" max="15107" width="9" style="19"/>
    <col min="15108" max="15108" width="0.75" style="19" customWidth="1"/>
    <col min="15109" max="15109" width="11.375" style="19" customWidth="1"/>
    <col min="15110" max="15111" width="12.75" style="19" customWidth="1"/>
    <col min="15112" max="15112" width="14.75" style="19" customWidth="1"/>
    <col min="15113" max="15114" width="14.625" style="19" customWidth="1"/>
    <col min="15115" max="15117" width="3.125" style="19" customWidth="1"/>
    <col min="15118" max="15118" width="5.125" style="19" customWidth="1"/>
    <col min="15119" max="15121" width="3.375" style="19" customWidth="1"/>
    <col min="15122" max="15122" width="4.875" style="19" customWidth="1"/>
    <col min="15123" max="15123" width="5.625" style="19" customWidth="1"/>
    <col min="15124" max="15124" width="1.875" style="19" customWidth="1"/>
    <col min="15125" max="15125" width="6.75" style="19" customWidth="1"/>
    <col min="15126" max="15127" width="1.875" style="19" customWidth="1"/>
    <col min="15128" max="15128" width="4.375" style="19" customWidth="1"/>
    <col min="15129" max="15129" width="1.875" style="19" customWidth="1"/>
    <col min="15130" max="15130" width="3.625" style="19" customWidth="1"/>
    <col min="15131" max="15131" width="11.875" style="19" customWidth="1"/>
    <col min="15132" max="15132" width="10.5" style="19" customWidth="1"/>
    <col min="15133" max="15133" width="13.75" style="19" customWidth="1"/>
    <col min="15134" max="15363" width="9" style="19"/>
    <col min="15364" max="15364" width="0.75" style="19" customWidth="1"/>
    <col min="15365" max="15365" width="11.375" style="19" customWidth="1"/>
    <col min="15366" max="15367" width="12.75" style="19" customWidth="1"/>
    <col min="15368" max="15368" width="14.75" style="19" customWidth="1"/>
    <col min="15369" max="15370" width="14.625" style="19" customWidth="1"/>
    <col min="15371" max="15373" width="3.125" style="19" customWidth="1"/>
    <col min="15374" max="15374" width="5.125" style="19" customWidth="1"/>
    <col min="15375" max="15377" width="3.375" style="19" customWidth="1"/>
    <col min="15378" max="15378" width="4.875" style="19" customWidth="1"/>
    <col min="15379" max="15379" width="5.625" style="19" customWidth="1"/>
    <col min="15380" max="15380" width="1.875" style="19" customWidth="1"/>
    <col min="15381" max="15381" width="6.75" style="19" customWidth="1"/>
    <col min="15382" max="15383" width="1.875" style="19" customWidth="1"/>
    <col min="15384" max="15384" width="4.375" style="19" customWidth="1"/>
    <col min="15385" max="15385" width="1.875" style="19" customWidth="1"/>
    <col min="15386" max="15386" width="3.625" style="19" customWidth="1"/>
    <col min="15387" max="15387" width="11.875" style="19" customWidth="1"/>
    <col min="15388" max="15388" width="10.5" style="19" customWidth="1"/>
    <col min="15389" max="15389" width="13.75" style="19" customWidth="1"/>
    <col min="15390" max="15619" width="9" style="19"/>
    <col min="15620" max="15620" width="0.75" style="19" customWidth="1"/>
    <col min="15621" max="15621" width="11.375" style="19" customWidth="1"/>
    <col min="15622" max="15623" width="12.75" style="19" customWidth="1"/>
    <col min="15624" max="15624" width="14.75" style="19" customWidth="1"/>
    <col min="15625" max="15626" width="14.625" style="19" customWidth="1"/>
    <col min="15627" max="15629" width="3.125" style="19" customWidth="1"/>
    <col min="15630" max="15630" width="5.125" style="19" customWidth="1"/>
    <col min="15631" max="15633" width="3.375" style="19" customWidth="1"/>
    <col min="15634" max="15634" width="4.875" style="19" customWidth="1"/>
    <col min="15635" max="15635" width="5.625" style="19" customWidth="1"/>
    <col min="15636" max="15636" width="1.875" style="19" customWidth="1"/>
    <col min="15637" max="15637" width="6.75" style="19" customWidth="1"/>
    <col min="15638" max="15639" width="1.875" style="19" customWidth="1"/>
    <col min="15640" max="15640" width="4.375" style="19" customWidth="1"/>
    <col min="15641" max="15641" width="1.875" style="19" customWidth="1"/>
    <col min="15642" max="15642" width="3.625" style="19" customWidth="1"/>
    <col min="15643" max="15643" width="11.875" style="19" customWidth="1"/>
    <col min="15644" max="15644" width="10.5" style="19" customWidth="1"/>
    <col min="15645" max="15645" width="13.75" style="19" customWidth="1"/>
    <col min="15646" max="15875" width="9" style="19"/>
    <col min="15876" max="15876" width="0.75" style="19" customWidth="1"/>
    <col min="15877" max="15877" width="11.375" style="19" customWidth="1"/>
    <col min="15878" max="15879" width="12.75" style="19" customWidth="1"/>
    <col min="15880" max="15880" width="14.75" style="19" customWidth="1"/>
    <col min="15881" max="15882" width="14.625" style="19" customWidth="1"/>
    <col min="15883" max="15885" width="3.125" style="19" customWidth="1"/>
    <col min="15886" max="15886" width="5.125" style="19" customWidth="1"/>
    <col min="15887" max="15889" width="3.375" style="19" customWidth="1"/>
    <col min="15890" max="15890" width="4.875" style="19" customWidth="1"/>
    <col min="15891" max="15891" width="5.625" style="19" customWidth="1"/>
    <col min="15892" max="15892" width="1.875" style="19" customWidth="1"/>
    <col min="15893" max="15893" width="6.75" style="19" customWidth="1"/>
    <col min="15894" max="15895" width="1.875" style="19" customWidth="1"/>
    <col min="15896" max="15896" width="4.375" style="19" customWidth="1"/>
    <col min="15897" max="15897" width="1.875" style="19" customWidth="1"/>
    <col min="15898" max="15898" width="3.625" style="19" customWidth="1"/>
    <col min="15899" max="15899" width="11.875" style="19" customWidth="1"/>
    <col min="15900" max="15900" width="10.5" style="19" customWidth="1"/>
    <col min="15901" max="15901" width="13.75" style="19" customWidth="1"/>
    <col min="15902" max="16131" width="9" style="19"/>
    <col min="16132" max="16132" width="0.75" style="19" customWidth="1"/>
    <col min="16133" max="16133" width="11.375" style="19" customWidth="1"/>
    <col min="16134" max="16135" width="12.75" style="19" customWidth="1"/>
    <col min="16136" max="16136" width="14.75" style="19" customWidth="1"/>
    <col min="16137" max="16138" width="14.625" style="19" customWidth="1"/>
    <col min="16139" max="16141" width="3.125" style="19" customWidth="1"/>
    <col min="16142" max="16142" width="5.125" style="19" customWidth="1"/>
    <col min="16143" max="16145" width="3.375" style="19" customWidth="1"/>
    <col min="16146" max="16146" width="4.875" style="19" customWidth="1"/>
    <col min="16147" max="16147" width="5.625" style="19" customWidth="1"/>
    <col min="16148" max="16148" width="1.875" style="19" customWidth="1"/>
    <col min="16149" max="16149" width="6.75" style="19" customWidth="1"/>
    <col min="16150" max="16151" width="1.875" style="19" customWidth="1"/>
    <col min="16152" max="16152" width="4.375" style="19" customWidth="1"/>
    <col min="16153" max="16153" width="1.875" style="19" customWidth="1"/>
    <col min="16154" max="16154" width="3.625" style="19" customWidth="1"/>
    <col min="16155" max="16155" width="11.875" style="19" customWidth="1"/>
    <col min="16156" max="16156" width="10.5" style="19" customWidth="1"/>
    <col min="16157" max="16157" width="13.75" style="19" customWidth="1"/>
    <col min="16158" max="16383" width="9" style="19"/>
    <col min="16384" max="16384" width="9" style="19" customWidth="1"/>
  </cols>
  <sheetData>
    <row r="2" spans="2:29" ht="30" customHeight="1">
      <c r="B2" s="940" t="s">
        <v>240</v>
      </c>
      <c r="C2" s="940"/>
      <c r="D2" s="940"/>
      <c r="E2" s="940"/>
      <c r="F2" s="940"/>
      <c r="G2" s="940"/>
      <c r="H2" s="940"/>
      <c r="I2" s="940"/>
      <c r="J2" s="940"/>
      <c r="K2" s="940"/>
      <c r="L2" s="940"/>
      <c r="M2" s="940"/>
      <c r="N2" s="940"/>
      <c r="O2" s="940"/>
      <c r="P2" s="940"/>
      <c r="Q2" s="940"/>
      <c r="R2" s="940"/>
      <c r="S2" s="940"/>
      <c r="T2" s="940"/>
      <c r="U2" s="940" t="s">
        <v>9</v>
      </c>
      <c r="V2" s="940"/>
      <c r="W2" s="940"/>
      <c r="X2" s="940"/>
      <c r="Y2" s="940"/>
      <c r="Z2" s="940"/>
      <c r="AA2" s="940"/>
      <c r="AB2" s="940" t="s">
        <v>10</v>
      </c>
    </row>
    <row r="3" spans="2:29" ht="15" customHeight="1">
      <c r="E3" s="19"/>
      <c r="G3" s="19"/>
      <c r="H3" s="19"/>
      <c r="I3" s="323"/>
      <c r="AB3" s="416"/>
    </row>
    <row r="4" spans="2:29" ht="15" customHeight="1" thickBot="1">
      <c r="B4" s="941" t="s">
        <v>114</v>
      </c>
      <c r="C4" s="941"/>
      <c r="D4" s="941"/>
      <c r="E4" s="22"/>
      <c r="F4" s="21"/>
      <c r="G4" s="22"/>
      <c r="H4" s="22"/>
      <c r="I4" s="942" t="s">
        <v>136</v>
      </c>
      <c r="J4" s="942"/>
      <c r="K4" s="942"/>
      <c r="L4" s="942"/>
      <c r="M4" s="942"/>
      <c r="N4" s="942"/>
      <c r="O4" s="942"/>
      <c r="P4" s="942"/>
      <c r="Q4" s="942"/>
      <c r="R4" s="942"/>
      <c r="S4" s="942"/>
      <c r="T4" s="942"/>
      <c r="U4" s="942"/>
      <c r="V4" s="942"/>
      <c r="W4" s="942"/>
      <c r="X4" s="942"/>
      <c r="Y4" s="942"/>
      <c r="Z4" s="942"/>
      <c r="AA4" s="942"/>
      <c r="AB4" s="942"/>
    </row>
    <row r="5" spans="2:29" ht="24" customHeight="1">
      <c r="B5" s="943" t="s">
        <v>25</v>
      </c>
      <c r="C5" s="944"/>
      <c r="D5" s="944"/>
      <c r="E5" s="774" t="s">
        <v>365</v>
      </c>
      <c r="F5" s="774" t="s">
        <v>364</v>
      </c>
      <c r="G5" s="958" t="s">
        <v>27</v>
      </c>
      <c r="H5" s="918" t="s">
        <v>203</v>
      </c>
      <c r="I5" s="948" t="s">
        <v>11</v>
      </c>
      <c r="J5" s="949"/>
      <c r="K5" s="949"/>
      <c r="L5" s="949"/>
      <c r="M5" s="949"/>
      <c r="N5" s="949"/>
      <c r="O5" s="949"/>
      <c r="P5" s="949"/>
      <c r="Q5" s="949"/>
      <c r="R5" s="949"/>
      <c r="S5" s="949"/>
      <c r="T5" s="949"/>
      <c r="U5" s="949"/>
      <c r="V5" s="949"/>
      <c r="W5" s="949"/>
      <c r="X5" s="949"/>
      <c r="Y5" s="949"/>
      <c r="Z5" s="950"/>
      <c r="AA5" s="949"/>
      <c r="AB5" s="951"/>
      <c r="AC5" s="23"/>
    </row>
    <row r="6" spans="2:29" ht="24" customHeight="1">
      <c r="B6" s="56" t="s">
        <v>62</v>
      </c>
      <c r="C6" s="57" t="s">
        <v>53</v>
      </c>
      <c r="D6" s="58" t="s">
        <v>54</v>
      </c>
      <c r="E6" s="775"/>
      <c r="F6" s="775"/>
      <c r="G6" s="959"/>
      <c r="H6" s="919"/>
      <c r="I6" s="945" t="s">
        <v>50</v>
      </c>
      <c r="J6" s="946"/>
      <c r="K6" s="946"/>
      <c r="L6" s="946"/>
      <c r="M6" s="946" t="s">
        <v>51</v>
      </c>
      <c r="N6" s="946"/>
      <c r="O6" s="946"/>
      <c r="P6" s="946"/>
      <c r="Q6" s="947" t="s">
        <v>61</v>
      </c>
      <c r="R6" s="947"/>
      <c r="S6" s="947"/>
      <c r="T6" s="914" t="s">
        <v>121</v>
      </c>
      <c r="U6" s="915"/>
      <c r="V6" s="960" t="s">
        <v>60</v>
      </c>
      <c r="W6" s="960"/>
      <c r="X6" s="960"/>
      <c r="Y6" s="324" t="s">
        <v>103</v>
      </c>
      <c r="Z6" s="324" t="s">
        <v>60</v>
      </c>
      <c r="AA6" s="325" t="s">
        <v>49</v>
      </c>
      <c r="AB6" s="417" t="s">
        <v>24</v>
      </c>
      <c r="AC6" s="23"/>
    </row>
    <row r="7" spans="2:29" ht="24" customHeight="1">
      <c r="B7" s="952" t="s">
        <v>154</v>
      </c>
      <c r="C7" s="953"/>
      <c r="D7" s="953"/>
      <c r="E7" s="55">
        <f>E8+E16+E59+E69+E54+E44</f>
        <v>1044974.2050000001</v>
      </c>
      <c r="F7" s="55">
        <f>F8+F16+F44+F59+F69+F54</f>
        <v>1021862.401</v>
      </c>
      <c r="G7" s="96">
        <f>F7-E7</f>
        <v>-23111.80400000012</v>
      </c>
      <c r="H7" s="229">
        <f>F7/E7</f>
        <v>0.97788289520505423</v>
      </c>
      <c r="I7" s="954">
        <f>SUM(M7:AB7)</f>
        <v>1021862.441</v>
      </c>
      <c r="J7" s="955"/>
      <c r="K7" s="955"/>
      <c r="L7" s="955"/>
      <c r="M7" s="956">
        <f>M8+M16+M44+M59+M69+M54+M80</f>
        <v>443521</v>
      </c>
      <c r="N7" s="955"/>
      <c r="O7" s="955"/>
      <c r="P7" s="955"/>
      <c r="Q7" s="957">
        <f>Q8+Q16+Q44+Q59+Q69+Q54+Q80</f>
        <v>410619</v>
      </c>
      <c r="R7" s="957"/>
      <c r="S7" s="957"/>
      <c r="T7" s="916">
        <f>T8+T16+T44+T59+T69+T54</f>
        <v>6000</v>
      </c>
      <c r="U7" s="917"/>
      <c r="V7" s="961">
        <f>V8+V16+V44+V59+V69+V54</f>
        <v>83780</v>
      </c>
      <c r="W7" s="961"/>
      <c r="X7" s="961"/>
      <c r="Y7" s="301">
        <f>Y8+Y16+Y44+Y59+Y69+Y54</f>
        <v>54360</v>
      </c>
      <c r="Z7" s="301"/>
      <c r="AA7" s="302">
        <f>AA8+AA16+AA59+AA69+AA54+AA44</f>
        <v>22113</v>
      </c>
      <c r="AB7" s="369">
        <f>AB8+AB16+AB59+AB69+AB44+AB54</f>
        <v>1469.441</v>
      </c>
      <c r="AC7" s="23"/>
    </row>
    <row r="8" spans="2:29" ht="15" customHeight="1">
      <c r="B8" s="24" t="s">
        <v>103</v>
      </c>
      <c r="C8" s="25"/>
      <c r="D8" s="26" t="s">
        <v>50</v>
      </c>
      <c r="E8" s="27">
        <f>SUM(E9)</f>
        <v>50960</v>
      </c>
      <c r="F8" s="27">
        <f>SUM(F9)</f>
        <v>54360.146000000001</v>
      </c>
      <c r="G8" s="97">
        <f>+F8-E8</f>
        <v>3400.1460000000006</v>
      </c>
      <c r="H8" s="230">
        <f>F8/E8</f>
        <v>1.0667218602825745</v>
      </c>
      <c r="I8" s="842">
        <f>I9+I239+I250</f>
        <v>54360</v>
      </c>
      <c r="J8" s="843"/>
      <c r="K8" s="843"/>
      <c r="L8" s="844"/>
      <c r="M8" s="864">
        <f>M9</f>
        <v>0</v>
      </c>
      <c r="N8" s="843"/>
      <c r="O8" s="843"/>
      <c r="P8" s="844">
        <f>P9+P239+P250</f>
        <v>0</v>
      </c>
      <c r="Q8" s="864">
        <f>Q9</f>
        <v>0</v>
      </c>
      <c r="R8" s="843"/>
      <c r="S8" s="844"/>
      <c r="T8" s="867">
        <f>T9</f>
        <v>0</v>
      </c>
      <c r="U8" s="868"/>
      <c r="V8" s="861">
        <f>V9</f>
        <v>0</v>
      </c>
      <c r="W8" s="861"/>
      <c r="X8" s="861"/>
      <c r="Y8" s="326">
        <f>Y9</f>
        <v>54360</v>
      </c>
      <c r="Z8" s="327"/>
      <c r="AA8" s="328">
        <f>AA9</f>
        <v>0</v>
      </c>
      <c r="AB8" s="418">
        <f>AB9</f>
        <v>0</v>
      </c>
      <c r="AC8" s="23"/>
    </row>
    <row r="9" spans="2:29" ht="15" customHeight="1">
      <c r="B9" s="28"/>
      <c r="C9" s="113" t="s">
        <v>103</v>
      </c>
      <c r="D9" s="29" t="s">
        <v>127</v>
      </c>
      <c r="E9" s="30">
        <f>SUM(E10:E15)</f>
        <v>50960</v>
      </c>
      <c r="F9" s="30">
        <f>SUM(F10:F15)</f>
        <v>54360.146000000001</v>
      </c>
      <c r="G9" s="98">
        <f>+F9-E9</f>
        <v>3400.1460000000006</v>
      </c>
      <c r="H9" s="230">
        <f>F9/E9</f>
        <v>1.0667218602825745</v>
      </c>
      <c r="I9" s="860">
        <f>SUM(M9:AB9)</f>
        <v>54360</v>
      </c>
      <c r="J9" s="838"/>
      <c r="K9" s="838"/>
      <c r="L9" s="839"/>
      <c r="M9" s="837"/>
      <c r="N9" s="838"/>
      <c r="O9" s="838"/>
      <c r="P9" s="839"/>
      <c r="Q9" s="837">
        <v>0</v>
      </c>
      <c r="R9" s="838"/>
      <c r="S9" s="839"/>
      <c r="T9" s="865">
        <v>0</v>
      </c>
      <c r="U9" s="866"/>
      <c r="V9" s="862"/>
      <c r="W9" s="862"/>
      <c r="X9" s="862"/>
      <c r="Y9" s="329">
        <f>ROUND((AB10+AB14+AB12)/1000,0)</f>
        <v>54360</v>
      </c>
      <c r="Z9" s="303"/>
      <c r="AA9" s="330">
        <v>0</v>
      </c>
      <c r="AB9" s="370">
        <v>0</v>
      </c>
      <c r="AC9" s="23"/>
    </row>
    <row r="10" spans="2:29" ht="15" customHeight="1">
      <c r="B10" s="28"/>
      <c r="C10" s="114"/>
      <c r="D10" s="888" t="s">
        <v>103</v>
      </c>
      <c r="E10" s="890">
        <v>8760</v>
      </c>
      <c r="F10" s="890">
        <f>AB10/1000</f>
        <v>8760.1460000000006</v>
      </c>
      <c r="G10" s="884">
        <f>+F10-E10</f>
        <v>0.14600000000064028</v>
      </c>
      <c r="H10" s="834">
        <f>F10/E10</f>
        <v>1.0000166666666668</v>
      </c>
      <c r="I10" s="892" t="s">
        <v>141</v>
      </c>
      <c r="J10" s="893"/>
      <c r="K10" s="893"/>
      <c r="L10" s="893"/>
      <c r="M10" s="331"/>
      <c r="N10" s="331"/>
      <c r="O10" s="331"/>
      <c r="P10" s="331"/>
      <c r="Q10" s="332"/>
      <c r="R10" s="332"/>
      <c r="S10" s="332"/>
      <c r="T10" s="332"/>
      <c r="U10" s="332"/>
      <c r="V10" s="332"/>
      <c r="W10" s="332"/>
      <c r="X10" s="332"/>
      <c r="Y10" s="332"/>
      <c r="Z10" s="332"/>
      <c r="AA10" s="332"/>
      <c r="AB10" s="419">
        <f>SUM(AB11)</f>
        <v>8760146</v>
      </c>
      <c r="AC10" s="23"/>
    </row>
    <row r="11" spans="2:29" ht="15" customHeight="1">
      <c r="B11" s="28"/>
      <c r="C11" s="114"/>
      <c r="D11" s="889"/>
      <c r="E11" s="891"/>
      <c r="F11" s="891"/>
      <c r="G11" s="885"/>
      <c r="H11" s="835"/>
      <c r="I11" s="845" t="s">
        <v>1</v>
      </c>
      <c r="J11" s="859"/>
      <c r="K11" s="859"/>
      <c r="L11" s="859"/>
      <c r="M11" s="859"/>
      <c r="N11" s="859"/>
      <c r="O11" s="859"/>
      <c r="P11" s="859"/>
      <c r="Q11" s="331"/>
      <c r="R11" s="331"/>
      <c r="S11" s="331"/>
      <c r="T11" s="331"/>
      <c r="U11" s="331"/>
      <c r="V11" s="331"/>
      <c r="W11" s="331"/>
      <c r="X11" s="331"/>
      <c r="Y11" s="331"/>
      <c r="Z11" s="331"/>
      <c r="AA11" s="331"/>
      <c r="AB11" s="374">
        <v>8760146</v>
      </c>
      <c r="AC11" s="23"/>
    </row>
    <row r="12" spans="2:29" ht="15" customHeight="1">
      <c r="B12" s="28"/>
      <c r="C12" s="114"/>
      <c r="D12" s="977" t="s">
        <v>35</v>
      </c>
      <c r="E12" s="928">
        <v>41200</v>
      </c>
      <c r="F12" s="877">
        <f>AB12/1000</f>
        <v>44600</v>
      </c>
      <c r="G12" s="879">
        <f>F12-E12</f>
        <v>3400</v>
      </c>
      <c r="H12" s="834">
        <f>F12/E12</f>
        <v>1.0825242718446602</v>
      </c>
      <c r="I12" s="333" t="s">
        <v>151</v>
      </c>
      <c r="J12" s="313"/>
      <c r="K12" s="314"/>
      <c r="L12" s="314"/>
      <c r="M12" s="314"/>
      <c r="N12" s="314"/>
      <c r="O12" s="314"/>
      <c r="P12" s="314"/>
      <c r="Q12" s="334"/>
      <c r="R12" s="316"/>
      <c r="S12" s="317"/>
      <c r="T12" s="316"/>
      <c r="U12" s="316"/>
      <c r="V12" s="315"/>
      <c r="W12" s="315"/>
      <c r="X12" s="315"/>
      <c r="Y12" s="315"/>
      <c r="Z12" s="315"/>
      <c r="AA12" s="315"/>
      <c r="AB12" s="420">
        <f>SUM(AB13)</f>
        <v>44600000</v>
      </c>
      <c r="AC12" s="23"/>
    </row>
    <row r="13" spans="2:29" s="285" customFormat="1" ht="15" customHeight="1">
      <c r="B13" s="286"/>
      <c r="C13" s="287"/>
      <c r="D13" s="978"/>
      <c r="E13" s="929"/>
      <c r="F13" s="878"/>
      <c r="G13" s="880"/>
      <c r="H13" s="835"/>
      <c r="I13" s="886" t="s">
        <v>20</v>
      </c>
      <c r="J13" s="887"/>
      <c r="K13" s="887"/>
      <c r="L13" s="887"/>
      <c r="M13" s="308"/>
      <c r="N13" s="308"/>
      <c r="O13" s="308"/>
      <c r="P13" s="308"/>
      <c r="Q13" s="335"/>
      <c r="R13" s="336"/>
      <c r="S13" s="337"/>
      <c r="T13" s="336"/>
      <c r="U13" s="336"/>
      <c r="V13" s="338"/>
      <c r="W13" s="338"/>
      <c r="X13" s="338"/>
      <c r="Y13" s="338"/>
      <c r="Z13" s="338"/>
      <c r="AA13" s="338"/>
      <c r="AB13" s="421">
        <v>44600000</v>
      </c>
      <c r="AC13" s="288"/>
    </row>
    <row r="14" spans="2:29" ht="15" customHeight="1">
      <c r="B14" s="28"/>
      <c r="C14" s="114"/>
      <c r="D14" s="888" t="s">
        <v>256</v>
      </c>
      <c r="E14" s="890">
        <v>1000</v>
      </c>
      <c r="F14" s="890">
        <f>AB14/1000</f>
        <v>1000</v>
      </c>
      <c r="G14" s="884">
        <f>+F14-E14</f>
        <v>0</v>
      </c>
      <c r="H14" s="834">
        <f>F14/E14</f>
        <v>1</v>
      </c>
      <c r="I14" s="892" t="s">
        <v>144</v>
      </c>
      <c r="J14" s="893"/>
      <c r="K14" s="893"/>
      <c r="L14" s="893"/>
      <c r="M14" s="331"/>
      <c r="N14" s="331"/>
      <c r="O14" s="331"/>
      <c r="P14" s="331"/>
      <c r="Q14" s="331"/>
      <c r="R14" s="331"/>
      <c r="S14" s="331"/>
      <c r="T14" s="331"/>
      <c r="U14" s="331"/>
      <c r="V14" s="331"/>
      <c r="W14" s="331"/>
      <c r="X14" s="331"/>
      <c r="Y14" s="331"/>
      <c r="Z14" s="331"/>
      <c r="AA14" s="331"/>
      <c r="AB14" s="373">
        <f>SUM(AB15)</f>
        <v>1000000</v>
      </c>
      <c r="AC14" s="23"/>
    </row>
    <row r="15" spans="2:29" ht="15" customHeight="1">
      <c r="B15" s="28"/>
      <c r="C15" s="114"/>
      <c r="D15" s="889"/>
      <c r="E15" s="891"/>
      <c r="F15" s="891"/>
      <c r="G15" s="885"/>
      <c r="H15" s="835"/>
      <c r="I15" s="894" t="s">
        <v>257</v>
      </c>
      <c r="J15" s="895"/>
      <c r="K15" s="895"/>
      <c r="L15" s="895"/>
      <c r="M15" s="895"/>
      <c r="N15" s="895"/>
      <c r="O15" s="895"/>
      <c r="P15" s="895"/>
      <c r="Q15" s="331"/>
      <c r="R15" s="331"/>
      <c r="S15" s="331"/>
      <c r="T15" s="331"/>
      <c r="U15" s="331"/>
      <c r="V15" s="331"/>
      <c r="W15" s="331"/>
      <c r="X15" s="331"/>
      <c r="Y15" s="331"/>
      <c r="Z15" s="331"/>
      <c r="AA15" s="331"/>
      <c r="AB15" s="374">
        <v>1000000</v>
      </c>
      <c r="AC15" s="23"/>
    </row>
    <row r="16" spans="2:29" ht="15" customHeight="1">
      <c r="B16" s="24" t="s">
        <v>99</v>
      </c>
      <c r="C16" s="25"/>
      <c r="D16" s="26" t="s">
        <v>50</v>
      </c>
      <c r="E16" s="27">
        <f>E17</f>
        <v>859140</v>
      </c>
      <c r="F16" s="27">
        <f>F17</f>
        <v>860140</v>
      </c>
      <c r="G16" s="97">
        <f>+F16-E16</f>
        <v>1000</v>
      </c>
      <c r="H16" s="230">
        <f>F16/E16</f>
        <v>1.0011639546523268</v>
      </c>
      <c r="I16" s="860">
        <f>I17</f>
        <v>860140</v>
      </c>
      <c r="J16" s="838"/>
      <c r="K16" s="838"/>
      <c r="L16" s="839"/>
      <c r="M16" s="837">
        <f>M17</f>
        <v>443521</v>
      </c>
      <c r="N16" s="838"/>
      <c r="O16" s="838"/>
      <c r="P16" s="839">
        <f>P17+P241+P252</f>
        <v>0</v>
      </c>
      <c r="Q16" s="837">
        <f>Q17</f>
        <v>410619</v>
      </c>
      <c r="R16" s="838"/>
      <c r="S16" s="838"/>
      <c r="T16" s="865">
        <f>T17</f>
        <v>6000</v>
      </c>
      <c r="U16" s="866"/>
      <c r="V16" s="862">
        <f>V17</f>
        <v>0</v>
      </c>
      <c r="W16" s="862"/>
      <c r="X16" s="862"/>
      <c r="Y16" s="329">
        <f>Y17</f>
        <v>0</v>
      </c>
      <c r="Z16" s="303">
        <f>Z17</f>
        <v>0</v>
      </c>
      <c r="AA16" s="330">
        <f>AA17</f>
        <v>0</v>
      </c>
      <c r="AB16" s="422">
        <f>AB17</f>
        <v>0</v>
      </c>
      <c r="AC16" s="23"/>
    </row>
    <row r="17" spans="2:29" ht="15" customHeight="1">
      <c r="B17" s="28"/>
      <c r="C17" s="113" t="s">
        <v>99</v>
      </c>
      <c r="D17" s="50" t="s">
        <v>127</v>
      </c>
      <c r="E17" s="31">
        <f>SUM(E18:E43)</f>
        <v>859140</v>
      </c>
      <c r="F17" s="31">
        <f>SUM(F18,F26,F39,F36,F42)</f>
        <v>860140</v>
      </c>
      <c r="G17" s="99">
        <f>+F17-E17</f>
        <v>1000</v>
      </c>
      <c r="H17" s="233">
        <f>F17/E17</f>
        <v>1.0011639546523268</v>
      </c>
      <c r="I17" s="883">
        <f>M17+Q17+T17</f>
        <v>860140</v>
      </c>
      <c r="J17" s="854"/>
      <c r="K17" s="854"/>
      <c r="L17" s="855"/>
      <c r="M17" s="853">
        <f>AB18/1000</f>
        <v>443521</v>
      </c>
      <c r="N17" s="854"/>
      <c r="O17" s="854"/>
      <c r="P17" s="855"/>
      <c r="Q17" s="853">
        <f>(AB26+AB36)/1000</f>
        <v>410619</v>
      </c>
      <c r="R17" s="854"/>
      <c r="S17" s="854"/>
      <c r="T17" s="869">
        <f>AB39/1000</f>
        <v>6000</v>
      </c>
      <c r="U17" s="870"/>
      <c r="V17" s="863"/>
      <c r="W17" s="863"/>
      <c r="X17" s="863"/>
      <c r="Y17" s="310">
        <v>0</v>
      </c>
      <c r="Z17" s="312">
        <v>0</v>
      </c>
      <c r="AA17" s="311">
        <v>0</v>
      </c>
      <c r="AB17" s="423">
        <v>0</v>
      </c>
      <c r="AC17" s="23"/>
    </row>
    <row r="18" spans="2:29" ht="15" customHeight="1">
      <c r="B18" s="28"/>
      <c r="C18" s="114"/>
      <c r="D18" s="930" t="s">
        <v>147</v>
      </c>
      <c r="E18" s="881">
        <v>443521</v>
      </c>
      <c r="F18" s="881">
        <f>AB18/1000</f>
        <v>443521</v>
      </c>
      <c r="G18" s="884">
        <f>+F18-E18</f>
        <v>0</v>
      </c>
      <c r="H18" s="834">
        <f>F18/E18</f>
        <v>1</v>
      </c>
      <c r="I18" s="847" t="s">
        <v>147</v>
      </c>
      <c r="J18" s="848"/>
      <c r="K18" s="848"/>
      <c r="L18" s="848"/>
      <c r="M18" s="314"/>
      <c r="N18" s="314"/>
      <c r="O18" s="314"/>
      <c r="P18" s="314"/>
      <c r="Q18" s="334"/>
      <c r="R18" s="316"/>
      <c r="S18" s="317"/>
      <c r="T18" s="307"/>
      <c r="U18" s="307"/>
      <c r="V18" s="306"/>
      <c r="W18" s="306"/>
      <c r="X18" s="306"/>
      <c r="Y18" s="315"/>
      <c r="Z18" s="315"/>
      <c r="AA18" s="315"/>
      <c r="AB18" s="420">
        <f>SUM(AB19:AB25)</f>
        <v>443521000</v>
      </c>
      <c r="AC18" s="23"/>
    </row>
    <row r="19" spans="2:29" ht="15" customHeight="1">
      <c r="B19" s="28"/>
      <c r="C19" s="114"/>
      <c r="D19" s="931"/>
      <c r="E19" s="882"/>
      <c r="F19" s="882"/>
      <c r="G19" s="885"/>
      <c r="H19" s="836"/>
      <c r="I19" s="845" t="s">
        <v>289</v>
      </c>
      <c r="J19" s="846"/>
      <c r="K19" s="846"/>
      <c r="L19" s="846"/>
      <c r="M19" s="846"/>
      <c r="N19" s="846"/>
      <c r="O19" s="846"/>
      <c r="P19" s="846"/>
      <c r="Q19" s="846"/>
      <c r="R19" s="846"/>
      <c r="S19" s="846"/>
      <c r="T19" s="307"/>
      <c r="U19" s="307"/>
      <c r="V19" s="306"/>
      <c r="W19" s="306"/>
      <c r="X19" s="306"/>
      <c r="Y19" s="306"/>
      <c r="Z19" s="306"/>
      <c r="AA19" s="306"/>
      <c r="AB19" s="424">
        <v>254480000</v>
      </c>
      <c r="AC19" s="23"/>
    </row>
    <row r="20" spans="2:29" ht="15" customHeight="1">
      <c r="B20" s="28"/>
      <c r="C20" s="114"/>
      <c r="D20" s="931"/>
      <c r="E20" s="882"/>
      <c r="F20" s="882"/>
      <c r="G20" s="885"/>
      <c r="H20" s="836"/>
      <c r="I20" s="849" t="s">
        <v>252</v>
      </c>
      <c r="J20" s="850"/>
      <c r="K20" s="850"/>
      <c r="L20" s="850"/>
      <c r="M20" s="850"/>
      <c r="N20" s="850"/>
      <c r="O20" s="850"/>
      <c r="P20" s="850"/>
      <c r="Q20" s="850"/>
      <c r="R20" s="850"/>
      <c r="S20" s="850"/>
      <c r="T20" s="307"/>
      <c r="U20" s="307"/>
      <c r="V20" s="306"/>
      <c r="W20" s="306"/>
      <c r="X20" s="306"/>
      <c r="Y20" s="306"/>
      <c r="Z20" s="306"/>
      <c r="AA20" s="306"/>
      <c r="AB20" s="424">
        <v>66925000</v>
      </c>
      <c r="AC20" s="23"/>
    </row>
    <row r="21" spans="2:29" ht="15" customHeight="1">
      <c r="B21" s="28"/>
      <c r="C21" s="114"/>
      <c r="D21" s="931"/>
      <c r="E21" s="882"/>
      <c r="F21" s="882"/>
      <c r="G21" s="885"/>
      <c r="H21" s="836"/>
      <c r="I21" s="845" t="s">
        <v>171</v>
      </c>
      <c r="J21" s="859"/>
      <c r="K21" s="859"/>
      <c r="L21" s="859"/>
      <c r="M21" s="859"/>
      <c r="N21" s="859"/>
      <c r="O21" s="305"/>
      <c r="P21" s="305"/>
      <c r="Q21" s="339"/>
      <c r="R21" s="307"/>
      <c r="S21" s="309"/>
      <c r="T21" s="307"/>
      <c r="U21" s="307"/>
      <c r="V21" s="306"/>
      <c r="W21" s="306"/>
      <c r="X21" s="306"/>
      <c r="Y21" s="306"/>
      <c r="Z21" s="306"/>
      <c r="AA21" s="306"/>
      <c r="AB21" s="424">
        <v>27597000</v>
      </c>
      <c r="AC21" s="23"/>
    </row>
    <row r="22" spans="2:29" ht="15" customHeight="1">
      <c r="B22" s="28"/>
      <c r="C22" s="114"/>
      <c r="D22" s="931"/>
      <c r="E22" s="882"/>
      <c r="F22" s="882"/>
      <c r="G22" s="885"/>
      <c r="H22" s="836"/>
      <c r="I22" s="845" t="s">
        <v>180</v>
      </c>
      <c r="J22" s="859"/>
      <c r="K22" s="859"/>
      <c r="L22" s="859"/>
      <c r="M22" s="859"/>
      <c r="N22" s="859"/>
      <c r="O22" s="305"/>
      <c r="P22" s="305"/>
      <c r="Q22" s="339"/>
      <c r="R22" s="307"/>
      <c r="S22" s="309"/>
      <c r="T22" s="307"/>
      <c r="U22" s="307"/>
      <c r="V22" s="306"/>
      <c r="W22" s="306"/>
      <c r="X22" s="306"/>
      <c r="Y22" s="306"/>
      <c r="Z22" s="306"/>
      <c r="AA22" s="306"/>
      <c r="AB22" s="424">
        <v>18508000</v>
      </c>
      <c r="AC22" s="23"/>
    </row>
    <row r="23" spans="2:29" ht="15" customHeight="1">
      <c r="B23" s="28"/>
      <c r="C23" s="254"/>
      <c r="D23" s="931"/>
      <c r="E23" s="882"/>
      <c r="F23" s="882"/>
      <c r="G23" s="885"/>
      <c r="H23" s="836"/>
      <c r="I23" s="845" t="s">
        <v>231</v>
      </c>
      <c r="J23" s="846"/>
      <c r="K23" s="846"/>
      <c r="L23" s="846"/>
      <c r="M23" s="846"/>
      <c r="N23" s="846"/>
      <c r="O23" s="846"/>
      <c r="P23" s="305"/>
      <c r="Q23" s="339"/>
      <c r="R23" s="307"/>
      <c r="S23" s="309"/>
      <c r="T23" s="307"/>
      <c r="U23" s="307"/>
      <c r="V23" s="306"/>
      <c r="W23" s="306"/>
      <c r="X23" s="306"/>
      <c r="Y23" s="306"/>
      <c r="Z23" s="306"/>
      <c r="AA23" s="306"/>
      <c r="AB23" s="424">
        <v>17011000</v>
      </c>
      <c r="AC23" s="23"/>
    </row>
    <row r="24" spans="2:29" ht="15" customHeight="1">
      <c r="B24" s="28"/>
      <c r="C24" s="114"/>
      <c r="D24" s="930"/>
      <c r="E24" s="881"/>
      <c r="F24" s="881"/>
      <c r="G24" s="884"/>
      <c r="H24" s="836"/>
      <c r="I24" s="845" t="s">
        <v>3</v>
      </c>
      <c r="J24" s="846"/>
      <c r="K24" s="846"/>
      <c r="L24" s="846"/>
      <c r="M24" s="846"/>
      <c r="N24" s="846"/>
      <c r="O24" s="846"/>
      <c r="P24" s="305"/>
      <c r="Q24" s="339"/>
      <c r="R24" s="307"/>
      <c r="S24" s="309"/>
      <c r="T24" s="307"/>
      <c r="U24" s="307"/>
      <c r="V24" s="306"/>
      <c r="W24" s="306"/>
      <c r="X24" s="306"/>
      <c r="Y24" s="306"/>
      <c r="Z24" s="306"/>
      <c r="AA24" s="306"/>
      <c r="AB24" s="424">
        <v>7750000</v>
      </c>
      <c r="AC24" s="23"/>
    </row>
    <row r="25" spans="2:29" ht="15" customHeight="1">
      <c r="B25" s="28"/>
      <c r="C25" s="114"/>
      <c r="D25" s="932"/>
      <c r="E25" s="898"/>
      <c r="F25" s="898"/>
      <c r="G25" s="913"/>
      <c r="H25" s="835"/>
      <c r="I25" s="896" t="s">
        <v>288</v>
      </c>
      <c r="J25" s="897"/>
      <c r="K25" s="897"/>
      <c r="L25" s="897"/>
      <c r="M25" s="897"/>
      <c r="N25" s="897"/>
      <c r="O25" s="897"/>
      <c r="P25" s="897"/>
      <c r="Q25" s="897"/>
      <c r="R25" s="897"/>
      <c r="S25" s="897"/>
      <c r="T25" s="897"/>
      <c r="U25" s="897"/>
      <c r="V25" s="306"/>
      <c r="W25" s="306"/>
      <c r="X25" s="306"/>
      <c r="Y25" s="306"/>
      <c r="Z25" s="306"/>
      <c r="AA25" s="306"/>
      <c r="AB25" s="424">
        <v>51250000</v>
      </c>
      <c r="AC25" s="23"/>
    </row>
    <row r="26" spans="2:29" ht="15" customHeight="1">
      <c r="B26" s="28"/>
      <c r="C26" s="114"/>
      <c r="D26" s="899" t="s">
        <v>145</v>
      </c>
      <c r="E26" s="908">
        <v>275100</v>
      </c>
      <c r="F26" s="908">
        <f>AB26/1000</f>
        <v>275100</v>
      </c>
      <c r="G26" s="905">
        <f>+F26-E26</f>
        <v>0</v>
      </c>
      <c r="H26" s="902">
        <f>F26/E26</f>
        <v>1</v>
      </c>
      <c r="I26" s="847" t="s">
        <v>145</v>
      </c>
      <c r="J26" s="848"/>
      <c r="K26" s="848"/>
      <c r="L26" s="848"/>
      <c r="M26" s="314"/>
      <c r="N26" s="314"/>
      <c r="O26" s="314"/>
      <c r="P26" s="314"/>
      <c r="Q26" s="334"/>
      <c r="R26" s="316"/>
      <c r="S26" s="317"/>
      <c r="T26" s="316"/>
      <c r="U26" s="316"/>
      <c r="V26" s="315"/>
      <c r="W26" s="315"/>
      <c r="X26" s="315"/>
      <c r="Y26" s="315"/>
      <c r="Z26" s="315"/>
      <c r="AA26" s="315"/>
      <c r="AB26" s="420">
        <f>SUM(AB27:AB35)</f>
        <v>275100000</v>
      </c>
      <c r="AC26" s="23"/>
    </row>
    <row r="27" spans="2:29" ht="15" customHeight="1">
      <c r="B27" s="28"/>
      <c r="C27" s="114"/>
      <c r="D27" s="900"/>
      <c r="E27" s="909"/>
      <c r="F27" s="909"/>
      <c r="G27" s="906"/>
      <c r="H27" s="903"/>
      <c r="I27" s="845" t="s">
        <v>289</v>
      </c>
      <c r="J27" s="846"/>
      <c r="K27" s="846"/>
      <c r="L27" s="846"/>
      <c r="M27" s="846"/>
      <c r="N27" s="846"/>
      <c r="O27" s="846"/>
      <c r="P27" s="846"/>
      <c r="Q27" s="846"/>
      <c r="R27" s="846"/>
      <c r="S27" s="846"/>
      <c r="T27" s="307"/>
      <c r="U27" s="307"/>
      <c r="V27" s="306"/>
      <c r="W27" s="306"/>
      <c r="X27" s="306"/>
      <c r="Y27" s="306"/>
      <c r="Z27" s="306"/>
      <c r="AA27" s="306"/>
      <c r="AB27" s="424">
        <v>127240000</v>
      </c>
      <c r="AC27" s="23"/>
    </row>
    <row r="28" spans="2:29" ht="15" customHeight="1">
      <c r="B28" s="28"/>
      <c r="C28" s="114"/>
      <c r="D28" s="900"/>
      <c r="E28" s="909"/>
      <c r="F28" s="909"/>
      <c r="G28" s="906"/>
      <c r="H28" s="903"/>
      <c r="I28" s="851" t="s">
        <v>251</v>
      </c>
      <c r="J28" s="852"/>
      <c r="K28" s="852"/>
      <c r="L28" s="852"/>
      <c r="M28" s="852"/>
      <c r="N28" s="852"/>
      <c r="O28" s="852"/>
      <c r="P28" s="852"/>
      <c r="Q28" s="852"/>
      <c r="R28" s="852"/>
      <c r="S28" s="852"/>
      <c r="T28" s="307"/>
      <c r="U28" s="307"/>
      <c r="V28" s="306"/>
      <c r="W28" s="306"/>
      <c r="X28" s="306"/>
      <c r="Y28" s="306"/>
      <c r="Z28" s="306"/>
      <c r="AA28" s="306"/>
      <c r="AB28" s="424">
        <v>66925000</v>
      </c>
      <c r="AC28" s="23"/>
    </row>
    <row r="29" spans="2:29" ht="15" customHeight="1">
      <c r="B29" s="28"/>
      <c r="C29" s="114"/>
      <c r="D29" s="900"/>
      <c r="E29" s="909"/>
      <c r="F29" s="909"/>
      <c r="G29" s="906"/>
      <c r="H29" s="903"/>
      <c r="I29" s="845" t="s">
        <v>171</v>
      </c>
      <c r="J29" s="859"/>
      <c r="K29" s="859"/>
      <c r="L29" s="859"/>
      <c r="M29" s="859"/>
      <c r="N29" s="859"/>
      <c r="O29" s="344"/>
      <c r="P29" s="344"/>
      <c r="Q29" s="339"/>
      <c r="R29" s="307"/>
      <c r="S29" s="309"/>
      <c r="T29" s="307"/>
      <c r="U29" s="307"/>
      <c r="V29" s="306"/>
      <c r="W29" s="306"/>
      <c r="X29" s="306"/>
      <c r="Y29" s="306"/>
      <c r="Z29" s="306"/>
      <c r="AA29" s="306"/>
      <c r="AB29" s="424">
        <v>19318000</v>
      </c>
      <c r="AC29" s="23"/>
    </row>
    <row r="30" spans="2:29" ht="15" customHeight="1">
      <c r="B30" s="28"/>
      <c r="C30" s="114"/>
      <c r="D30" s="900"/>
      <c r="E30" s="909"/>
      <c r="F30" s="909"/>
      <c r="G30" s="906"/>
      <c r="H30" s="903"/>
      <c r="I30" s="845" t="s">
        <v>180</v>
      </c>
      <c r="J30" s="859"/>
      <c r="K30" s="859"/>
      <c r="L30" s="859"/>
      <c r="M30" s="859"/>
      <c r="N30" s="859"/>
      <c r="O30" s="344"/>
      <c r="P30" s="344"/>
      <c r="Q30" s="339"/>
      <c r="R30" s="307"/>
      <c r="S30" s="309"/>
      <c r="T30" s="307"/>
      <c r="U30" s="307"/>
      <c r="V30" s="306"/>
      <c r="W30" s="306"/>
      <c r="X30" s="306"/>
      <c r="Y30" s="306"/>
      <c r="Z30" s="306"/>
      <c r="AA30" s="306"/>
      <c r="AB30" s="424">
        <v>18509000</v>
      </c>
      <c r="AC30" s="23"/>
    </row>
    <row r="31" spans="2:29" ht="15" customHeight="1">
      <c r="B31" s="28"/>
      <c r="C31" s="254"/>
      <c r="D31" s="900"/>
      <c r="E31" s="909"/>
      <c r="F31" s="909"/>
      <c r="G31" s="906"/>
      <c r="H31" s="903"/>
      <c r="I31" s="845" t="s">
        <v>290</v>
      </c>
      <c r="J31" s="846"/>
      <c r="K31" s="846"/>
      <c r="L31" s="846"/>
      <c r="M31" s="846"/>
      <c r="N31" s="846"/>
      <c r="O31" s="846"/>
      <c r="P31" s="344"/>
      <c r="Q31" s="339"/>
      <c r="R31" s="307"/>
      <c r="S31" s="309"/>
      <c r="T31" s="307"/>
      <c r="U31" s="307"/>
      <c r="V31" s="306"/>
      <c r="W31" s="306"/>
      <c r="X31" s="306"/>
      <c r="Y31" s="306"/>
      <c r="Z31" s="306"/>
      <c r="AA31" s="306"/>
      <c r="AB31" s="424">
        <v>17012000</v>
      </c>
      <c r="AC31" s="23"/>
    </row>
    <row r="32" spans="2:29" ht="15" customHeight="1">
      <c r="B32" s="28"/>
      <c r="C32" s="114"/>
      <c r="D32" s="900"/>
      <c r="E32" s="909"/>
      <c r="F32" s="909"/>
      <c r="G32" s="906"/>
      <c r="H32" s="903"/>
      <c r="I32" s="856" t="s">
        <v>3</v>
      </c>
      <c r="J32" s="846"/>
      <c r="K32" s="846"/>
      <c r="L32" s="846"/>
      <c r="M32" s="846"/>
      <c r="N32" s="846"/>
      <c r="O32" s="846"/>
      <c r="P32" s="846"/>
      <c r="Q32" s="846"/>
      <c r="R32" s="307"/>
      <c r="S32" s="309"/>
      <c r="T32" s="307"/>
      <c r="U32" s="307"/>
      <c r="V32" s="306"/>
      <c r="W32" s="306"/>
      <c r="X32" s="306"/>
      <c r="Y32" s="306"/>
      <c r="Z32" s="306"/>
      <c r="AA32" s="306"/>
      <c r="AB32" s="424">
        <v>7750000</v>
      </c>
      <c r="AC32" s="23"/>
    </row>
    <row r="33" spans="2:29" ht="15" customHeight="1">
      <c r="B33" s="28"/>
      <c r="C33" s="289"/>
      <c r="D33" s="900"/>
      <c r="E33" s="909"/>
      <c r="F33" s="909"/>
      <c r="G33" s="906"/>
      <c r="H33" s="903"/>
      <c r="I33" s="856" t="s">
        <v>285</v>
      </c>
      <c r="J33" s="846"/>
      <c r="K33" s="846"/>
      <c r="L33" s="846"/>
      <c r="M33" s="846"/>
      <c r="N33" s="846"/>
      <c r="O33" s="846"/>
      <c r="P33" s="846"/>
      <c r="Q33" s="846"/>
      <c r="R33" s="307"/>
      <c r="S33" s="309"/>
      <c r="T33" s="307"/>
      <c r="U33" s="307"/>
      <c r="V33" s="306"/>
      <c r="W33" s="306"/>
      <c r="X33" s="306"/>
      <c r="Y33" s="306"/>
      <c r="Z33" s="306"/>
      <c r="AA33" s="306"/>
      <c r="AB33" s="424">
        <v>7523000</v>
      </c>
      <c r="AC33" s="23"/>
    </row>
    <row r="34" spans="2:29" ht="15" customHeight="1">
      <c r="B34" s="28"/>
      <c r="C34" s="114"/>
      <c r="D34" s="900"/>
      <c r="E34" s="909"/>
      <c r="F34" s="909"/>
      <c r="G34" s="906"/>
      <c r="H34" s="903"/>
      <c r="I34" s="845" t="s">
        <v>291</v>
      </c>
      <c r="J34" s="846"/>
      <c r="K34" s="846"/>
      <c r="L34" s="846"/>
      <c r="M34" s="846"/>
      <c r="N34" s="846"/>
      <c r="O34" s="846"/>
      <c r="P34" s="846"/>
      <c r="Q34" s="846"/>
      <c r="R34" s="846"/>
      <c r="S34" s="309"/>
      <c r="T34" s="307"/>
      <c r="U34" s="307"/>
      <c r="V34" s="306"/>
      <c r="W34" s="306"/>
      <c r="X34" s="306"/>
      <c r="Y34" s="306"/>
      <c r="Z34" s="306"/>
      <c r="AA34" s="306"/>
      <c r="AB34" s="424">
        <v>1800000</v>
      </c>
      <c r="AC34" s="23"/>
    </row>
    <row r="35" spans="2:29" ht="15" customHeight="1">
      <c r="B35" s="28"/>
      <c r="C35" s="321"/>
      <c r="D35" s="901"/>
      <c r="E35" s="910"/>
      <c r="F35" s="910"/>
      <c r="G35" s="907"/>
      <c r="H35" s="904"/>
      <c r="I35" s="911" t="s">
        <v>344</v>
      </c>
      <c r="J35" s="912"/>
      <c r="K35" s="912"/>
      <c r="L35" s="912"/>
      <c r="M35" s="912"/>
      <c r="N35" s="912"/>
      <c r="O35" s="912"/>
      <c r="P35" s="354"/>
      <c r="Q35" s="354"/>
      <c r="R35" s="355"/>
      <c r="S35" s="356"/>
      <c r="T35" s="355"/>
      <c r="U35" s="355"/>
      <c r="V35" s="357"/>
      <c r="W35" s="357"/>
      <c r="X35" s="357"/>
      <c r="Y35" s="357"/>
      <c r="Z35" s="357"/>
      <c r="AA35" s="357"/>
      <c r="AB35" s="424">
        <v>9023000</v>
      </c>
      <c r="AC35" s="23"/>
    </row>
    <row r="36" spans="2:29" ht="15" customHeight="1">
      <c r="B36" s="28"/>
      <c r="C36" s="114"/>
      <c r="D36" s="930" t="s">
        <v>118</v>
      </c>
      <c r="E36" s="881">
        <v>135519</v>
      </c>
      <c r="F36" s="881">
        <f>AB36/1000</f>
        <v>135519</v>
      </c>
      <c r="G36" s="884">
        <f>+F36-E36</f>
        <v>0</v>
      </c>
      <c r="H36" s="834">
        <f>F36/E36</f>
        <v>1</v>
      </c>
      <c r="I36" s="847" t="s">
        <v>118</v>
      </c>
      <c r="J36" s="848"/>
      <c r="K36" s="848"/>
      <c r="L36" s="848"/>
      <c r="M36" s="314"/>
      <c r="N36" s="314"/>
      <c r="O36" s="314"/>
      <c r="P36" s="314"/>
      <c r="Q36" s="334"/>
      <c r="R36" s="316"/>
      <c r="S36" s="317"/>
      <c r="T36" s="316"/>
      <c r="U36" s="316"/>
      <c r="V36" s="315"/>
      <c r="W36" s="315"/>
      <c r="X36" s="315"/>
      <c r="Y36" s="315"/>
      <c r="Z36" s="315"/>
      <c r="AA36" s="315"/>
      <c r="AB36" s="420">
        <f>SUM(AB37:AB38)</f>
        <v>135519000</v>
      </c>
      <c r="AC36" s="23"/>
    </row>
    <row r="37" spans="2:29" ht="15" customHeight="1">
      <c r="B37" s="28"/>
      <c r="C37" s="114"/>
      <c r="D37" s="931"/>
      <c r="E37" s="882"/>
      <c r="F37" s="882"/>
      <c r="G37" s="885"/>
      <c r="H37" s="836"/>
      <c r="I37" s="845" t="s">
        <v>6</v>
      </c>
      <c r="J37" s="859"/>
      <c r="K37" s="859"/>
      <c r="L37" s="859"/>
      <c r="M37" s="859"/>
      <c r="N37" s="859"/>
      <c r="O37" s="859"/>
      <c r="P37" s="859"/>
      <c r="Q37" s="339"/>
      <c r="R37" s="307"/>
      <c r="S37" s="309"/>
      <c r="T37" s="307"/>
      <c r="U37" s="307"/>
      <c r="V37" s="306"/>
      <c r="W37" s="306"/>
      <c r="X37" s="306"/>
      <c r="Y37" s="306"/>
      <c r="Z37" s="306"/>
      <c r="AA37" s="306"/>
      <c r="AB37" s="424">
        <v>127240000</v>
      </c>
      <c r="AC37" s="23"/>
    </row>
    <row r="38" spans="2:29" ht="15" customHeight="1">
      <c r="B38" s="28"/>
      <c r="C38" s="250"/>
      <c r="D38" s="931"/>
      <c r="E38" s="882"/>
      <c r="F38" s="882"/>
      <c r="G38" s="885"/>
      <c r="H38" s="836"/>
      <c r="I38" s="845" t="s">
        <v>171</v>
      </c>
      <c r="J38" s="859"/>
      <c r="K38" s="859"/>
      <c r="L38" s="859"/>
      <c r="M38" s="859"/>
      <c r="N38" s="859"/>
      <c r="O38" s="859"/>
      <c r="P38" s="859"/>
      <c r="Q38" s="339"/>
      <c r="R38" s="307"/>
      <c r="S38" s="309"/>
      <c r="T38" s="307"/>
      <c r="U38" s="307"/>
      <c r="V38" s="306"/>
      <c r="W38" s="306"/>
      <c r="X38" s="306"/>
      <c r="Y38" s="306"/>
      <c r="Z38" s="306"/>
      <c r="AA38" s="306"/>
      <c r="AB38" s="424">
        <v>8279000</v>
      </c>
      <c r="AC38" s="23"/>
    </row>
    <row r="39" spans="2:29" ht="15" customHeight="1">
      <c r="B39" s="28"/>
      <c r="C39" s="114"/>
      <c r="D39" s="930" t="s">
        <v>121</v>
      </c>
      <c r="E39" s="881">
        <v>5000</v>
      </c>
      <c r="F39" s="881">
        <f>AB39/1000</f>
        <v>6000</v>
      </c>
      <c r="G39" s="884">
        <f>+F39-E39</f>
        <v>1000</v>
      </c>
      <c r="H39" s="834">
        <f>F39/E39</f>
        <v>1.2</v>
      </c>
      <c r="I39" s="847" t="s">
        <v>121</v>
      </c>
      <c r="J39" s="848"/>
      <c r="K39" s="848"/>
      <c r="L39" s="848"/>
      <c r="M39" s="314"/>
      <c r="N39" s="314"/>
      <c r="O39" s="314"/>
      <c r="P39" s="314"/>
      <c r="Q39" s="334"/>
      <c r="R39" s="316"/>
      <c r="S39" s="317"/>
      <c r="T39" s="316"/>
      <c r="U39" s="316"/>
      <c r="V39" s="315"/>
      <c r="W39" s="315"/>
      <c r="X39" s="315"/>
      <c r="Y39" s="315"/>
      <c r="Z39" s="315"/>
      <c r="AA39" s="315"/>
      <c r="AB39" s="420">
        <f>SUM(AB40:AB41)</f>
        <v>6000000</v>
      </c>
      <c r="AC39" s="23"/>
    </row>
    <row r="40" spans="2:29" ht="15" customHeight="1">
      <c r="B40" s="28"/>
      <c r="C40" s="361"/>
      <c r="D40" s="931"/>
      <c r="E40" s="882"/>
      <c r="F40" s="882"/>
      <c r="G40" s="885"/>
      <c r="H40" s="836"/>
      <c r="I40" s="856" t="s">
        <v>253</v>
      </c>
      <c r="J40" s="846"/>
      <c r="K40" s="846"/>
      <c r="L40" s="846"/>
      <c r="M40" s="846"/>
      <c r="N40" s="846"/>
      <c r="O40" s="846"/>
      <c r="P40" s="846"/>
      <c r="Q40" s="846"/>
      <c r="R40" s="846"/>
      <c r="S40" s="846"/>
      <c r="T40" s="846"/>
      <c r="U40" s="846"/>
      <c r="V40" s="306"/>
      <c r="W40" s="306"/>
      <c r="X40" s="306"/>
      <c r="Y40" s="306"/>
      <c r="Z40" s="306"/>
      <c r="AA40" s="306"/>
      <c r="AB40" s="425">
        <v>5000000</v>
      </c>
      <c r="AC40" s="23"/>
    </row>
    <row r="41" spans="2:29" ht="15" customHeight="1">
      <c r="B41" s="28"/>
      <c r="C41" s="114"/>
      <c r="D41" s="931"/>
      <c r="E41" s="882"/>
      <c r="F41" s="882"/>
      <c r="G41" s="885"/>
      <c r="H41" s="835"/>
      <c r="I41" s="856" t="s">
        <v>370</v>
      </c>
      <c r="J41" s="846"/>
      <c r="K41" s="846"/>
      <c r="L41" s="846"/>
      <c r="M41" s="846"/>
      <c r="N41" s="846"/>
      <c r="O41" s="846"/>
      <c r="P41" s="846"/>
      <c r="Q41" s="846"/>
      <c r="R41" s="846"/>
      <c r="S41" s="846"/>
      <c r="T41" s="846"/>
      <c r="U41" s="846"/>
      <c r="V41" s="306"/>
      <c r="W41" s="306"/>
      <c r="X41" s="306"/>
      <c r="Y41" s="306"/>
      <c r="Z41" s="306"/>
      <c r="AA41" s="306"/>
      <c r="AB41" s="425">
        <v>1000000</v>
      </c>
      <c r="AC41" s="23"/>
    </row>
    <row r="42" spans="2:29" ht="15" hidden="1" customHeight="1">
      <c r="B42" s="28"/>
      <c r="C42" s="361"/>
      <c r="D42" s="930" t="s">
        <v>121</v>
      </c>
      <c r="E42" s="881">
        <v>0</v>
      </c>
      <c r="F42" s="881">
        <f>AB42/1000</f>
        <v>0</v>
      </c>
      <c r="G42" s="884">
        <f>+F42-E42</f>
        <v>0</v>
      </c>
      <c r="H42" s="234"/>
      <c r="I42" s="980" t="s">
        <v>121</v>
      </c>
      <c r="J42" s="981"/>
      <c r="K42" s="981"/>
      <c r="L42" s="981"/>
      <c r="M42" s="314"/>
      <c r="N42" s="314"/>
      <c r="O42" s="314"/>
      <c r="P42" s="314"/>
      <c r="Q42" s="334"/>
      <c r="R42" s="316"/>
      <c r="S42" s="317"/>
      <c r="T42" s="316"/>
      <c r="U42" s="316"/>
      <c r="V42" s="315"/>
      <c r="W42" s="315"/>
      <c r="X42" s="315"/>
      <c r="Y42" s="315"/>
      <c r="Z42" s="315"/>
      <c r="AA42" s="315"/>
      <c r="AB42" s="420">
        <f>SUM(AB43:AB43)</f>
        <v>0</v>
      </c>
      <c r="AC42" s="23"/>
    </row>
    <row r="43" spans="2:29" ht="15" hidden="1" customHeight="1">
      <c r="B43" s="28"/>
      <c r="C43" s="114"/>
      <c r="D43" s="931"/>
      <c r="E43" s="882"/>
      <c r="F43" s="882"/>
      <c r="G43" s="885"/>
      <c r="H43" s="232"/>
      <c r="I43" s="845" t="s">
        <v>31</v>
      </c>
      <c r="J43" s="859"/>
      <c r="K43" s="859"/>
      <c r="L43" s="859"/>
      <c r="M43" s="859"/>
      <c r="N43" s="859"/>
      <c r="O43" s="859"/>
      <c r="P43" s="859"/>
      <c r="Q43" s="339"/>
      <c r="R43" s="307"/>
      <c r="S43" s="309"/>
      <c r="T43" s="307"/>
      <c r="U43" s="307"/>
      <c r="V43" s="306"/>
      <c r="W43" s="306"/>
      <c r="X43" s="306"/>
      <c r="Y43" s="306"/>
      <c r="Z43" s="306"/>
      <c r="AA43" s="306"/>
      <c r="AB43" s="424">
        <v>0</v>
      </c>
      <c r="AC43" s="23"/>
    </row>
    <row r="44" spans="2:29" ht="15" customHeight="1">
      <c r="B44" s="24" t="s">
        <v>105</v>
      </c>
      <c r="C44" s="25"/>
      <c r="D44" s="26" t="s">
        <v>50</v>
      </c>
      <c r="E44" s="27">
        <f>SUM(E45,E49)</f>
        <v>81500</v>
      </c>
      <c r="F44" s="27">
        <f>SUM(F45,F49)</f>
        <v>83780</v>
      </c>
      <c r="G44" s="97">
        <f>+F44-E44</f>
        <v>2280</v>
      </c>
      <c r="H44" s="230">
        <f>F44/E44</f>
        <v>1.0279754601226994</v>
      </c>
      <c r="I44" s="842">
        <f>I49+I261+I272+I45</f>
        <v>83780</v>
      </c>
      <c r="J44" s="843"/>
      <c r="K44" s="843"/>
      <c r="L44" s="844"/>
      <c r="M44" s="864">
        <f>M49</f>
        <v>0</v>
      </c>
      <c r="N44" s="843"/>
      <c r="O44" s="843"/>
      <c r="P44" s="844">
        <f>P49+P261+P272</f>
        <v>0</v>
      </c>
      <c r="Q44" s="864">
        <f>Q49</f>
        <v>0</v>
      </c>
      <c r="R44" s="843"/>
      <c r="S44" s="844"/>
      <c r="T44" s="867">
        <f>T49</f>
        <v>0</v>
      </c>
      <c r="U44" s="868"/>
      <c r="V44" s="861">
        <f>V49+V45</f>
        <v>83780</v>
      </c>
      <c r="W44" s="861"/>
      <c r="X44" s="861"/>
      <c r="Y44" s="327"/>
      <c r="Z44" s="327"/>
      <c r="AA44" s="328"/>
      <c r="AB44" s="426"/>
      <c r="AC44" s="23"/>
    </row>
    <row r="45" spans="2:29" ht="15" customHeight="1">
      <c r="B45" s="28"/>
      <c r="C45" s="113" t="s">
        <v>105</v>
      </c>
      <c r="D45" s="29" t="s">
        <v>127</v>
      </c>
      <c r="E45" s="30">
        <f>SUM(E46)</f>
        <v>10500</v>
      </c>
      <c r="F45" s="30">
        <f>SUM(F46:F48)</f>
        <v>13670</v>
      </c>
      <c r="G45" s="98">
        <f>+F45-E45</f>
        <v>3170</v>
      </c>
      <c r="H45" s="231">
        <f>F45/E45</f>
        <v>1.3019047619047619</v>
      </c>
      <c r="I45" s="860">
        <f>SUM(M45:AB45)</f>
        <v>13670</v>
      </c>
      <c r="J45" s="838"/>
      <c r="K45" s="838"/>
      <c r="L45" s="839"/>
      <c r="M45" s="837"/>
      <c r="N45" s="838"/>
      <c r="O45" s="838"/>
      <c r="P45" s="839"/>
      <c r="Q45" s="837">
        <v>0</v>
      </c>
      <c r="R45" s="838"/>
      <c r="S45" s="839"/>
      <c r="T45" s="865">
        <v>0</v>
      </c>
      <c r="U45" s="866"/>
      <c r="V45" s="862">
        <f>ROUNDUP(AB46/1000,0)</f>
        <v>13670</v>
      </c>
      <c r="W45" s="862"/>
      <c r="X45" s="862"/>
      <c r="Y45" s="303"/>
      <c r="Z45" s="303"/>
      <c r="AA45" s="330"/>
      <c r="AB45" s="422"/>
      <c r="AC45" s="23"/>
    </row>
    <row r="46" spans="2:29" ht="15" customHeight="1">
      <c r="B46" s="28"/>
      <c r="C46" s="114"/>
      <c r="D46" s="888" t="s">
        <v>81</v>
      </c>
      <c r="E46" s="881">
        <v>10500</v>
      </c>
      <c r="F46" s="881">
        <f>AB46/1000</f>
        <v>13670</v>
      </c>
      <c r="G46" s="884">
        <f>+F46-E46</f>
        <v>3170</v>
      </c>
      <c r="H46" s="834">
        <f>F46/E46</f>
        <v>1.3019047619047619</v>
      </c>
      <c r="I46" s="924" t="s">
        <v>81</v>
      </c>
      <c r="J46" s="925"/>
      <c r="K46" s="925"/>
      <c r="L46" s="925"/>
      <c r="M46" s="332"/>
      <c r="N46" s="332"/>
      <c r="O46" s="332"/>
      <c r="P46" s="332"/>
      <c r="Q46" s="332"/>
      <c r="R46" s="332"/>
      <c r="S46" s="332"/>
      <c r="T46" s="332"/>
      <c r="U46" s="332"/>
      <c r="V46" s="332"/>
      <c r="W46" s="332"/>
      <c r="X46" s="332"/>
      <c r="Y46" s="332"/>
      <c r="Z46" s="332"/>
      <c r="AA46" s="332"/>
      <c r="AB46" s="419">
        <f>SUM(AB47:AB48)</f>
        <v>13670000</v>
      </c>
      <c r="AC46" s="23"/>
    </row>
    <row r="47" spans="2:29" ht="15" customHeight="1">
      <c r="B47" s="28"/>
      <c r="C47" s="114"/>
      <c r="D47" s="889"/>
      <c r="E47" s="882"/>
      <c r="F47" s="882"/>
      <c r="G47" s="885"/>
      <c r="H47" s="836"/>
      <c r="I47" s="857" t="s">
        <v>195</v>
      </c>
      <c r="J47" s="858"/>
      <c r="K47" s="858"/>
      <c r="L47" s="858"/>
      <c r="M47" s="858"/>
      <c r="N47" s="858"/>
      <c r="O47" s="858"/>
      <c r="P47" s="858"/>
      <c r="Q47" s="331"/>
      <c r="R47" s="331"/>
      <c r="S47" s="331"/>
      <c r="T47" s="331"/>
      <c r="U47" s="331"/>
      <c r="V47" s="331"/>
      <c r="W47" s="331"/>
      <c r="X47" s="331"/>
      <c r="Y47" s="331"/>
      <c r="Z47" s="331"/>
      <c r="AA47" s="331"/>
      <c r="AB47" s="374">
        <v>13650000</v>
      </c>
      <c r="AC47" s="23"/>
    </row>
    <row r="48" spans="2:29" ht="15" customHeight="1">
      <c r="B48" s="28"/>
      <c r="C48" s="114"/>
      <c r="D48" s="889"/>
      <c r="E48" s="882"/>
      <c r="F48" s="882"/>
      <c r="G48" s="913"/>
      <c r="H48" s="835"/>
      <c r="I48" s="894" t="s">
        <v>196</v>
      </c>
      <c r="J48" s="895"/>
      <c r="K48" s="895"/>
      <c r="L48" s="895"/>
      <c r="M48" s="895"/>
      <c r="N48" s="895"/>
      <c r="O48" s="895"/>
      <c r="P48" s="895"/>
      <c r="Q48" s="339"/>
      <c r="R48" s="307"/>
      <c r="S48" s="309"/>
      <c r="T48" s="307"/>
      <c r="U48" s="307"/>
      <c r="V48" s="306"/>
      <c r="W48" s="306"/>
      <c r="X48" s="306"/>
      <c r="Y48" s="306"/>
      <c r="Z48" s="306"/>
      <c r="AA48" s="306"/>
      <c r="AB48" s="427">
        <v>20000</v>
      </c>
      <c r="AC48" s="23"/>
    </row>
    <row r="49" spans="2:29" ht="15" customHeight="1">
      <c r="B49" s="28"/>
      <c r="C49" s="113"/>
      <c r="D49" s="29" t="s">
        <v>127</v>
      </c>
      <c r="E49" s="30">
        <f>SUM(E50:E53)</f>
        <v>71000</v>
      </c>
      <c r="F49" s="30">
        <f>SUM(F50:F53)</f>
        <v>70110</v>
      </c>
      <c r="G49" s="98">
        <f>+F49-E49</f>
        <v>-890</v>
      </c>
      <c r="H49" s="231">
        <f>F49/E49</f>
        <v>0.98746478873239441</v>
      </c>
      <c r="I49" s="860">
        <f>SUM(M49:AB49)</f>
        <v>70110</v>
      </c>
      <c r="J49" s="838"/>
      <c r="K49" s="838"/>
      <c r="L49" s="839"/>
      <c r="M49" s="837"/>
      <c r="N49" s="838"/>
      <c r="O49" s="838"/>
      <c r="P49" s="839"/>
      <c r="Q49" s="837">
        <v>0</v>
      </c>
      <c r="R49" s="838"/>
      <c r="S49" s="839"/>
      <c r="T49" s="865">
        <v>0</v>
      </c>
      <c r="U49" s="866"/>
      <c r="V49" s="862">
        <f>ROUND(AB50/1000,0)</f>
        <v>70110</v>
      </c>
      <c r="W49" s="862"/>
      <c r="X49" s="862"/>
      <c r="Y49" s="303"/>
      <c r="Z49" s="303"/>
      <c r="AA49" s="330"/>
      <c r="AB49" s="422"/>
      <c r="AC49" s="23"/>
    </row>
    <row r="50" spans="2:29" ht="15" customHeight="1">
      <c r="B50" s="28"/>
      <c r="C50" s="114"/>
      <c r="D50" s="888" t="s">
        <v>135</v>
      </c>
      <c r="E50" s="881">
        <v>71000</v>
      </c>
      <c r="F50" s="881">
        <f>AB50/1000</f>
        <v>70110</v>
      </c>
      <c r="G50" s="884">
        <f>+F50-E50</f>
        <v>-890</v>
      </c>
      <c r="H50" s="834">
        <f>F50/E50</f>
        <v>0.98746478873239441</v>
      </c>
      <c r="I50" s="924" t="s">
        <v>135</v>
      </c>
      <c r="J50" s="925"/>
      <c r="K50" s="925"/>
      <c r="L50" s="925"/>
      <c r="M50" s="332"/>
      <c r="N50" s="332"/>
      <c r="O50" s="332"/>
      <c r="P50" s="332"/>
      <c r="Q50" s="332"/>
      <c r="R50" s="332"/>
      <c r="S50" s="332"/>
      <c r="T50" s="332"/>
      <c r="U50" s="332"/>
      <c r="V50" s="332"/>
      <c r="W50" s="332"/>
      <c r="X50" s="332"/>
      <c r="Y50" s="332"/>
      <c r="Z50" s="332"/>
      <c r="AA50" s="332"/>
      <c r="AB50" s="419">
        <f>SUM(AB51:AB53)</f>
        <v>70110000</v>
      </c>
      <c r="AC50" s="23"/>
    </row>
    <row r="51" spans="2:29" ht="15" customHeight="1">
      <c r="B51" s="28"/>
      <c r="C51" s="114"/>
      <c r="D51" s="889"/>
      <c r="E51" s="882"/>
      <c r="F51" s="882"/>
      <c r="G51" s="885"/>
      <c r="H51" s="836"/>
      <c r="I51" s="845" t="s">
        <v>232</v>
      </c>
      <c r="J51" s="846"/>
      <c r="K51" s="846"/>
      <c r="L51" s="846"/>
      <c r="M51" s="846"/>
      <c r="N51" s="846"/>
      <c r="O51" s="846"/>
      <c r="P51" s="846"/>
      <c r="Q51" s="331"/>
      <c r="R51" s="331"/>
      <c r="S51" s="331"/>
      <c r="T51" s="331"/>
      <c r="U51" s="331"/>
      <c r="V51" s="331"/>
      <c r="W51" s="331"/>
      <c r="X51" s="331"/>
      <c r="Y51" s="331"/>
      <c r="Z51" s="331"/>
      <c r="AA51" s="331"/>
      <c r="AB51" s="400">
        <v>70100000</v>
      </c>
      <c r="AC51" s="23"/>
    </row>
    <row r="52" spans="2:29" ht="15" hidden="1" customHeight="1">
      <c r="B52" s="28"/>
      <c r="C52" s="250"/>
      <c r="D52" s="889"/>
      <c r="E52" s="882"/>
      <c r="F52" s="882"/>
      <c r="G52" s="885"/>
      <c r="H52" s="836"/>
      <c r="I52" s="845" t="s">
        <v>284</v>
      </c>
      <c r="J52" s="846"/>
      <c r="K52" s="846"/>
      <c r="L52" s="846"/>
      <c r="M52" s="846"/>
      <c r="N52" s="846"/>
      <c r="O52" s="846"/>
      <c r="P52" s="846"/>
      <c r="Q52" s="339"/>
      <c r="R52" s="307"/>
      <c r="S52" s="309"/>
      <c r="T52" s="307"/>
      <c r="U52" s="307"/>
      <c r="V52" s="306"/>
      <c r="W52" s="306"/>
      <c r="X52" s="306"/>
      <c r="Y52" s="306"/>
      <c r="Z52" s="306"/>
      <c r="AA52" s="306"/>
      <c r="AB52" s="428">
        <v>0</v>
      </c>
      <c r="AC52" s="23"/>
    </row>
    <row r="53" spans="2:29" ht="15" customHeight="1">
      <c r="B53" s="28"/>
      <c r="C53" s="114"/>
      <c r="D53" s="889"/>
      <c r="E53" s="882"/>
      <c r="F53" s="882"/>
      <c r="G53" s="885"/>
      <c r="H53" s="835"/>
      <c r="I53" s="845" t="s">
        <v>205</v>
      </c>
      <c r="J53" s="846"/>
      <c r="K53" s="846"/>
      <c r="L53" s="846"/>
      <c r="M53" s="846"/>
      <c r="N53" s="846"/>
      <c r="O53" s="846"/>
      <c r="P53" s="846"/>
      <c r="Q53" s="339"/>
      <c r="R53" s="307"/>
      <c r="S53" s="309"/>
      <c r="T53" s="307"/>
      <c r="U53" s="307"/>
      <c r="V53" s="306"/>
      <c r="W53" s="306"/>
      <c r="X53" s="306"/>
      <c r="Y53" s="306"/>
      <c r="Z53" s="306"/>
      <c r="AA53" s="306"/>
      <c r="AB53" s="428">
        <v>10000</v>
      </c>
      <c r="AC53" s="23"/>
    </row>
    <row r="54" spans="2:29" ht="15" customHeight="1">
      <c r="B54" s="24" t="s">
        <v>47</v>
      </c>
      <c r="C54" s="25"/>
      <c r="D54" s="26" t="s">
        <v>50</v>
      </c>
      <c r="E54" s="27">
        <f>SUM(E55)</f>
        <v>30000</v>
      </c>
      <c r="F54" s="27">
        <f>SUM(F55)</f>
        <v>2.9000000000000001E-2</v>
      </c>
      <c r="G54" s="97">
        <f>+F54-E54</f>
        <v>-29999.971000000001</v>
      </c>
      <c r="H54" s="230" t="s">
        <v>352</v>
      </c>
      <c r="I54" s="842">
        <f>I55</f>
        <v>0</v>
      </c>
      <c r="J54" s="843"/>
      <c r="K54" s="843"/>
      <c r="L54" s="844"/>
      <c r="M54" s="864">
        <f>M59</f>
        <v>0</v>
      </c>
      <c r="N54" s="843"/>
      <c r="O54" s="843"/>
      <c r="P54" s="844">
        <f>P59+P268+P279</f>
        <v>0</v>
      </c>
      <c r="Q54" s="864">
        <f>Q59</f>
        <v>0</v>
      </c>
      <c r="R54" s="843"/>
      <c r="S54" s="844"/>
      <c r="T54" s="867">
        <f>T59</f>
        <v>0</v>
      </c>
      <c r="U54" s="868"/>
      <c r="V54" s="861">
        <f>V59+V55</f>
        <v>0</v>
      </c>
      <c r="W54" s="861"/>
      <c r="X54" s="861"/>
      <c r="Y54" s="327"/>
      <c r="Z54" s="327"/>
      <c r="AA54" s="328"/>
      <c r="AB54" s="426">
        <f>AB55</f>
        <v>0</v>
      </c>
      <c r="AC54" s="23"/>
    </row>
    <row r="55" spans="2:29" ht="15" customHeight="1">
      <c r="B55" s="28"/>
      <c r="C55" s="113" t="s">
        <v>47</v>
      </c>
      <c r="D55" s="29" t="s">
        <v>127</v>
      </c>
      <c r="E55" s="30">
        <f>SUM(E56)</f>
        <v>30000</v>
      </c>
      <c r="F55" s="30">
        <f>SUM(F56:F58)</f>
        <v>2.9000000000000001E-2</v>
      </c>
      <c r="G55" s="98">
        <f>+F55-E55</f>
        <v>-29999.971000000001</v>
      </c>
      <c r="H55" s="231" t="s">
        <v>352</v>
      </c>
      <c r="I55" s="860">
        <f>SUM(M55:AB55)</f>
        <v>0</v>
      </c>
      <c r="J55" s="838"/>
      <c r="K55" s="838"/>
      <c r="L55" s="839"/>
      <c r="M55" s="837"/>
      <c r="N55" s="838"/>
      <c r="O55" s="838"/>
      <c r="P55" s="839"/>
      <c r="Q55" s="837">
        <v>0</v>
      </c>
      <c r="R55" s="838"/>
      <c r="S55" s="839"/>
      <c r="T55" s="865">
        <v>0</v>
      </c>
      <c r="U55" s="866"/>
      <c r="V55" s="862">
        <v>0</v>
      </c>
      <c r="W55" s="862"/>
      <c r="X55" s="862"/>
      <c r="Y55" s="303"/>
      <c r="Z55" s="303"/>
      <c r="AA55" s="330"/>
      <c r="AB55" s="422">
        <f>ROUND(AB56/1000,0)</f>
        <v>0</v>
      </c>
      <c r="AC55" s="23"/>
    </row>
    <row r="56" spans="2:29" ht="15" customHeight="1">
      <c r="B56" s="28"/>
      <c r="C56" s="114"/>
      <c r="D56" s="888" t="s">
        <v>157</v>
      </c>
      <c r="E56" s="881">
        <v>30000</v>
      </c>
      <c r="F56" s="881">
        <f>AB56/1000</f>
        <v>2.9000000000000001E-2</v>
      </c>
      <c r="G56" s="884">
        <f>+F56-E56</f>
        <v>-29999.971000000001</v>
      </c>
      <c r="H56" s="834" t="s">
        <v>352</v>
      </c>
      <c r="I56" s="924" t="s">
        <v>157</v>
      </c>
      <c r="J56" s="925"/>
      <c r="K56" s="925"/>
      <c r="L56" s="925"/>
      <c r="M56" s="332"/>
      <c r="N56" s="332"/>
      <c r="O56" s="332"/>
      <c r="P56" s="332"/>
      <c r="Q56" s="332"/>
      <c r="R56" s="332"/>
      <c r="S56" s="332"/>
      <c r="T56" s="332"/>
      <c r="U56" s="332"/>
      <c r="V56" s="332"/>
      <c r="W56" s="332"/>
      <c r="X56" s="332"/>
      <c r="Y56" s="332"/>
      <c r="Z56" s="332"/>
      <c r="AA56" s="332"/>
      <c r="AB56" s="419">
        <f>SUM(AB57:AB58)</f>
        <v>29</v>
      </c>
      <c r="AC56" s="23"/>
    </row>
    <row r="57" spans="2:29" ht="15" customHeight="1">
      <c r="B57" s="28"/>
      <c r="C57" s="114"/>
      <c r="D57" s="889"/>
      <c r="E57" s="882"/>
      <c r="F57" s="882"/>
      <c r="G57" s="885"/>
      <c r="H57" s="836"/>
      <c r="I57" s="857" t="s">
        <v>198</v>
      </c>
      <c r="J57" s="858"/>
      <c r="K57" s="858"/>
      <c r="L57" s="858"/>
      <c r="M57" s="858"/>
      <c r="N57" s="858"/>
      <c r="O57" s="858"/>
      <c r="P57" s="340"/>
      <c r="Q57" s="331"/>
      <c r="R57" s="331"/>
      <c r="S57" s="331"/>
      <c r="T57" s="331"/>
      <c r="U57" s="331"/>
      <c r="V57" s="331"/>
      <c r="W57" s="331"/>
      <c r="X57" s="331"/>
      <c r="Y57" s="331"/>
      <c r="Z57" s="331"/>
      <c r="AA57" s="331"/>
      <c r="AB57" s="390">
        <v>0</v>
      </c>
      <c r="AC57" s="23"/>
    </row>
    <row r="58" spans="2:29" ht="15" customHeight="1">
      <c r="B58" s="28"/>
      <c r="C58" s="114"/>
      <c r="D58" s="889"/>
      <c r="E58" s="882"/>
      <c r="F58" s="882"/>
      <c r="G58" s="913"/>
      <c r="H58" s="835"/>
      <c r="I58" s="894" t="s">
        <v>199</v>
      </c>
      <c r="J58" s="895"/>
      <c r="K58" s="895"/>
      <c r="L58" s="895"/>
      <c r="M58" s="895"/>
      <c r="N58" s="895"/>
      <c r="O58" s="895"/>
      <c r="P58" s="895"/>
      <c r="Q58" s="339"/>
      <c r="R58" s="307"/>
      <c r="S58" s="309"/>
      <c r="T58" s="307"/>
      <c r="U58" s="307"/>
      <c r="V58" s="306"/>
      <c r="W58" s="306"/>
      <c r="X58" s="306"/>
      <c r="Y58" s="306"/>
      <c r="Z58" s="306"/>
      <c r="AA58" s="306"/>
      <c r="AB58" s="427">
        <v>29</v>
      </c>
      <c r="AC58" s="23"/>
    </row>
    <row r="59" spans="2:29" ht="15" customHeight="1">
      <c r="B59" s="111" t="s">
        <v>49</v>
      </c>
      <c r="C59" s="79"/>
      <c r="D59" s="26" t="s">
        <v>50</v>
      </c>
      <c r="E59" s="27">
        <f>SUM(E60)</f>
        <v>22112.785</v>
      </c>
      <c r="F59" s="27">
        <f>SUM(F60)</f>
        <v>22112.785</v>
      </c>
      <c r="G59" s="97">
        <f>+F59-E59</f>
        <v>0</v>
      </c>
      <c r="H59" s="230">
        <f>F59/E59</f>
        <v>1</v>
      </c>
      <c r="I59" s="842">
        <f>I60+I265+I276</f>
        <v>22113</v>
      </c>
      <c r="J59" s="843"/>
      <c r="K59" s="843"/>
      <c r="L59" s="844"/>
      <c r="M59" s="864">
        <f>M60</f>
        <v>0</v>
      </c>
      <c r="N59" s="843"/>
      <c r="O59" s="843"/>
      <c r="P59" s="844">
        <f>P60+P265+P276</f>
        <v>0</v>
      </c>
      <c r="Q59" s="864">
        <f>Q60</f>
        <v>0</v>
      </c>
      <c r="R59" s="843"/>
      <c r="S59" s="844"/>
      <c r="T59" s="867">
        <f>T60</f>
        <v>0</v>
      </c>
      <c r="U59" s="868"/>
      <c r="V59" s="861">
        <f>V60</f>
        <v>0</v>
      </c>
      <c r="W59" s="861"/>
      <c r="X59" s="861"/>
      <c r="Y59" s="327">
        <f>Y60</f>
        <v>0</v>
      </c>
      <c r="Z59" s="327">
        <f>Z60</f>
        <v>0</v>
      </c>
      <c r="AA59" s="328">
        <f>AA60</f>
        <v>22113</v>
      </c>
      <c r="AB59" s="426">
        <f>AB60</f>
        <v>0</v>
      </c>
      <c r="AC59" s="23"/>
    </row>
    <row r="60" spans="2:29" ht="15" customHeight="1">
      <c r="B60" s="112"/>
      <c r="C60" s="939" t="s">
        <v>49</v>
      </c>
      <c r="D60" s="80" t="s">
        <v>127</v>
      </c>
      <c r="E60" s="27">
        <f>E61+E67</f>
        <v>22112.785</v>
      </c>
      <c r="F60" s="27">
        <f>F61+F67</f>
        <v>22112.785</v>
      </c>
      <c r="G60" s="98">
        <f>+F60-E60</f>
        <v>0</v>
      </c>
      <c r="H60" s="235">
        <f>F60/E60</f>
        <v>1</v>
      </c>
      <c r="I60" s="982">
        <f>SUM(M60:AB60)</f>
        <v>22113</v>
      </c>
      <c r="J60" s="872"/>
      <c r="K60" s="872"/>
      <c r="L60" s="873"/>
      <c r="M60" s="871">
        <v>0</v>
      </c>
      <c r="N60" s="872"/>
      <c r="O60" s="872"/>
      <c r="P60" s="873"/>
      <c r="Q60" s="871">
        <v>0</v>
      </c>
      <c r="R60" s="872"/>
      <c r="S60" s="873"/>
      <c r="T60" s="865">
        <v>0</v>
      </c>
      <c r="U60" s="866"/>
      <c r="V60" s="862"/>
      <c r="W60" s="862"/>
      <c r="X60" s="862"/>
      <c r="Y60" s="341">
        <v>0</v>
      </c>
      <c r="Z60" s="341">
        <v>0</v>
      </c>
      <c r="AA60" s="342">
        <f>ROUND((AB67+AB61)/1000,0)</f>
        <v>22113</v>
      </c>
      <c r="AB60" s="429">
        <v>0</v>
      </c>
      <c r="AC60" s="23"/>
    </row>
    <row r="61" spans="2:29" ht="15" customHeight="1">
      <c r="B61" s="112"/>
      <c r="C61" s="933"/>
      <c r="D61" s="920" t="s">
        <v>150</v>
      </c>
      <c r="E61" s="881">
        <f>12628323/1000</f>
        <v>12628.323</v>
      </c>
      <c r="F61" s="881">
        <f>AB61/1000</f>
        <v>12628.323</v>
      </c>
      <c r="G61" s="884">
        <f>+F61-E61</f>
        <v>0</v>
      </c>
      <c r="H61" s="834">
        <f>F61/E61</f>
        <v>1</v>
      </c>
      <c r="I61" s="333" t="s">
        <v>150</v>
      </c>
      <c r="J61" s="313"/>
      <c r="K61" s="314"/>
      <c r="L61" s="314"/>
      <c r="M61" s="314"/>
      <c r="N61" s="314"/>
      <c r="O61" s="314"/>
      <c r="P61" s="314"/>
      <c r="Q61" s="343"/>
      <c r="R61" s="316"/>
      <c r="S61" s="317"/>
      <c r="T61" s="316"/>
      <c r="U61" s="316"/>
      <c r="V61" s="315"/>
      <c r="W61" s="315"/>
      <c r="X61" s="315"/>
      <c r="Y61" s="315"/>
      <c r="Z61" s="315"/>
      <c r="AA61" s="315"/>
      <c r="AB61" s="420">
        <f>SUM(AB62:AB66)</f>
        <v>12628323</v>
      </c>
      <c r="AC61" s="23"/>
    </row>
    <row r="62" spans="2:29" ht="15" customHeight="1">
      <c r="B62" s="272"/>
      <c r="C62" s="933"/>
      <c r="D62" s="921"/>
      <c r="E62" s="882"/>
      <c r="F62" s="882"/>
      <c r="G62" s="885"/>
      <c r="H62" s="836"/>
      <c r="I62" s="926" t="s">
        <v>255</v>
      </c>
      <c r="J62" s="927"/>
      <c r="K62" s="927"/>
      <c r="L62" s="927"/>
      <c r="M62" s="927"/>
      <c r="N62" s="305"/>
      <c r="O62" s="305"/>
      <c r="P62" s="305"/>
      <c r="Q62" s="345"/>
      <c r="R62" s="307"/>
      <c r="S62" s="309"/>
      <c r="T62" s="307"/>
      <c r="U62" s="307"/>
      <c r="V62" s="306"/>
      <c r="W62" s="306"/>
      <c r="X62" s="306"/>
      <c r="Y62" s="306"/>
      <c r="Z62" s="306"/>
      <c r="AA62" s="306"/>
      <c r="AB62" s="424">
        <v>431109</v>
      </c>
      <c r="AC62" s="23"/>
    </row>
    <row r="63" spans="2:29" ht="15" customHeight="1">
      <c r="B63" s="112"/>
      <c r="C63" s="939"/>
      <c r="D63" s="921"/>
      <c r="E63" s="882"/>
      <c r="F63" s="882"/>
      <c r="G63" s="885"/>
      <c r="H63" s="836"/>
      <c r="I63" s="346" t="s">
        <v>26</v>
      </c>
      <c r="J63" s="304"/>
      <c r="K63" s="305"/>
      <c r="L63" s="305"/>
      <c r="M63" s="305"/>
      <c r="N63" s="305"/>
      <c r="O63" s="305"/>
      <c r="P63" s="305"/>
      <c r="Q63" s="345"/>
      <c r="R63" s="307"/>
      <c r="S63" s="309"/>
      <c r="T63" s="307"/>
      <c r="U63" s="307"/>
      <c r="V63" s="306"/>
      <c r="W63" s="306"/>
      <c r="X63" s="306"/>
      <c r="Y63" s="306"/>
      <c r="Z63" s="306"/>
      <c r="AA63" s="306"/>
      <c r="AB63" s="424">
        <f>5542353+859</f>
        <v>5543212</v>
      </c>
      <c r="AC63" s="23"/>
    </row>
    <row r="64" spans="2:29" ht="15" customHeight="1">
      <c r="B64" s="253"/>
      <c r="C64" s="933"/>
      <c r="D64" s="921"/>
      <c r="E64" s="882"/>
      <c r="F64" s="882"/>
      <c r="G64" s="885"/>
      <c r="H64" s="836"/>
      <c r="I64" s="346" t="s">
        <v>239</v>
      </c>
      <c r="J64" s="304"/>
      <c r="K64" s="305"/>
      <c r="L64" s="305"/>
      <c r="M64" s="305"/>
      <c r="N64" s="305"/>
      <c r="O64" s="305"/>
      <c r="P64" s="305"/>
      <c r="Q64" s="345"/>
      <c r="R64" s="307"/>
      <c r="S64" s="309"/>
      <c r="T64" s="307"/>
      <c r="U64" s="307"/>
      <c r="V64" s="306"/>
      <c r="W64" s="306"/>
      <c r="X64" s="306"/>
      <c r="Y64" s="306"/>
      <c r="Z64" s="306"/>
      <c r="AA64" s="306"/>
      <c r="AB64" s="424">
        <v>5367618</v>
      </c>
      <c r="AC64" s="23"/>
    </row>
    <row r="65" spans="2:29" ht="15" customHeight="1">
      <c r="B65" s="112"/>
      <c r="C65" s="933"/>
      <c r="D65" s="920"/>
      <c r="E65" s="881"/>
      <c r="F65" s="881"/>
      <c r="G65" s="884"/>
      <c r="H65" s="836"/>
      <c r="I65" s="346" t="s">
        <v>5</v>
      </c>
      <c r="J65" s="304"/>
      <c r="K65" s="305"/>
      <c r="L65" s="305"/>
      <c r="M65" s="305"/>
      <c r="N65" s="305"/>
      <c r="O65" s="305"/>
      <c r="P65" s="305"/>
      <c r="Q65" s="345"/>
      <c r="R65" s="307"/>
      <c r="S65" s="309"/>
      <c r="T65" s="307"/>
      <c r="U65" s="307"/>
      <c r="V65" s="306"/>
      <c r="W65" s="306"/>
      <c r="X65" s="306"/>
      <c r="Y65" s="306"/>
      <c r="Z65" s="306"/>
      <c r="AA65" s="306"/>
      <c r="AB65" s="424">
        <v>583535</v>
      </c>
      <c r="AC65" s="23"/>
    </row>
    <row r="66" spans="2:29" ht="15" customHeight="1">
      <c r="B66" s="112"/>
      <c r="C66" s="933"/>
      <c r="D66" s="922"/>
      <c r="E66" s="882"/>
      <c r="F66" s="882"/>
      <c r="G66" s="913"/>
      <c r="H66" s="835"/>
      <c r="I66" s="894" t="s">
        <v>183</v>
      </c>
      <c r="J66" s="923"/>
      <c r="K66" s="923"/>
      <c r="L66" s="923"/>
      <c r="M66" s="923"/>
      <c r="N66" s="923"/>
      <c r="O66" s="923"/>
      <c r="P66" s="923"/>
      <c r="Q66" s="923"/>
      <c r="R66" s="923"/>
      <c r="S66" s="923"/>
      <c r="T66" s="336"/>
      <c r="U66" s="336"/>
      <c r="V66" s="338"/>
      <c r="W66" s="338"/>
      <c r="X66" s="338"/>
      <c r="Y66" s="338"/>
      <c r="Z66" s="338"/>
      <c r="AA66" s="338"/>
      <c r="AB66" s="421">
        <v>702849</v>
      </c>
      <c r="AC66" s="23"/>
    </row>
    <row r="67" spans="2:29" ht="15" customHeight="1">
      <c r="B67" s="112"/>
      <c r="C67" s="933"/>
      <c r="D67" s="935" t="s">
        <v>179</v>
      </c>
      <c r="E67" s="881">
        <f>9484462/1000</f>
        <v>9484.4619999999995</v>
      </c>
      <c r="F67" s="881">
        <f>AB67/1000</f>
        <v>9484.4619999999995</v>
      </c>
      <c r="G67" s="884">
        <f>+F67-E67</f>
        <v>0</v>
      </c>
      <c r="H67" s="834">
        <f>F67/E67</f>
        <v>1</v>
      </c>
      <c r="I67" s="347" t="s">
        <v>40</v>
      </c>
      <c r="J67" s="304"/>
      <c r="K67" s="305"/>
      <c r="L67" s="305"/>
      <c r="M67" s="305"/>
      <c r="N67" s="305"/>
      <c r="O67" s="305"/>
      <c r="P67" s="305"/>
      <c r="Q67" s="345"/>
      <c r="R67" s="307"/>
      <c r="S67" s="309"/>
      <c r="T67" s="307"/>
      <c r="U67" s="307"/>
      <c r="V67" s="306"/>
      <c r="W67" s="306"/>
      <c r="X67" s="306"/>
      <c r="Y67" s="306"/>
      <c r="Z67" s="306"/>
      <c r="AA67" s="306"/>
      <c r="AB67" s="430">
        <f>SUM(AB68:AB68)</f>
        <v>9484462</v>
      </c>
      <c r="AC67" s="23"/>
    </row>
    <row r="68" spans="2:29" ht="15" customHeight="1">
      <c r="B68" s="86"/>
      <c r="C68" s="934"/>
      <c r="D68" s="935"/>
      <c r="E68" s="882"/>
      <c r="F68" s="882"/>
      <c r="G68" s="913"/>
      <c r="H68" s="835"/>
      <c r="I68" s="894" t="s">
        <v>181</v>
      </c>
      <c r="J68" s="895"/>
      <c r="K68" s="895"/>
      <c r="L68" s="895"/>
      <c r="M68" s="895"/>
      <c r="N68" s="895"/>
      <c r="O68" s="895"/>
      <c r="P68" s="895"/>
      <c r="Q68" s="348"/>
      <c r="R68" s="336"/>
      <c r="S68" s="337"/>
      <c r="T68" s="336"/>
      <c r="U68" s="336"/>
      <c r="V68" s="338"/>
      <c r="W68" s="338"/>
      <c r="X68" s="338"/>
      <c r="Y68" s="338"/>
      <c r="Z68" s="338"/>
      <c r="AA68" s="338"/>
      <c r="AB68" s="421">
        <v>9484462</v>
      </c>
      <c r="AC68" s="23"/>
    </row>
    <row r="69" spans="2:29" ht="15" customHeight="1">
      <c r="B69" s="962" t="s">
        <v>69</v>
      </c>
      <c r="C69" s="81"/>
      <c r="D69" s="26" t="s">
        <v>50</v>
      </c>
      <c r="E69" s="27">
        <f>SUM(E70+E80)</f>
        <v>1261.42</v>
      </c>
      <c r="F69" s="27">
        <f>SUM(F70+F80)</f>
        <v>1469.441</v>
      </c>
      <c r="G69" s="97">
        <f>+F69-E69</f>
        <v>208.02099999999996</v>
      </c>
      <c r="H69" s="230">
        <f>F69/E69</f>
        <v>1.1649101805901285</v>
      </c>
      <c r="I69" s="860">
        <f>I70+I80</f>
        <v>1469.441</v>
      </c>
      <c r="J69" s="838"/>
      <c r="K69" s="838"/>
      <c r="L69" s="839"/>
      <c r="M69" s="837">
        <f>M70</f>
        <v>0</v>
      </c>
      <c r="N69" s="838"/>
      <c r="O69" s="838"/>
      <c r="P69" s="839" t="e">
        <f>P70+P269+P280</f>
        <v>#REF!</v>
      </c>
      <c r="Q69" s="837">
        <f>Q70</f>
        <v>0</v>
      </c>
      <c r="R69" s="838"/>
      <c r="S69" s="839"/>
      <c r="T69" s="865">
        <f>T70</f>
        <v>0</v>
      </c>
      <c r="U69" s="866"/>
      <c r="V69" s="862">
        <f>V70</f>
        <v>0</v>
      </c>
      <c r="W69" s="862"/>
      <c r="X69" s="862"/>
      <c r="Y69" s="303">
        <f>Y70</f>
        <v>0</v>
      </c>
      <c r="Z69" s="303"/>
      <c r="AA69" s="330">
        <f>AA70</f>
        <v>0</v>
      </c>
      <c r="AB69" s="422">
        <f>AB70+AB80</f>
        <v>1469.441</v>
      </c>
      <c r="AC69" s="23"/>
    </row>
    <row r="70" spans="2:29" ht="15" hidden="1" customHeight="1">
      <c r="B70" s="963"/>
      <c r="C70" s="936" t="s">
        <v>69</v>
      </c>
      <c r="D70" s="51" t="s">
        <v>127</v>
      </c>
      <c r="E70" s="31">
        <f>SUM(E71)</f>
        <v>0</v>
      </c>
      <c r="F70" s="31">
        <f>SUM(F71)</f>
        <v>0</v>
      </c>
      <c r="G70" s="100">
        <f>+F70-E70</f>
        <v>0</v>
      </c>
      <c r="H70" s="236" t="e">
        <f>F70/E70</f>
        <v>#DIV/0!</v>
      </c>
      <c r="I70" s="883">
        <f>SUM(M70,Q70,T70,V70,Y70,AA70,AB70)</f>
        <v>0</v>
      </c>
      <c r="J70" s="854"/>
      <c r="K70" s="854"/>
      <c r="L70" s="855"/>
      <c r="M70" s="874">
        <f>Q70</f>
        <v>0</v>
      </c>
      <c r="N70" s="875"/>
      <c r="O70" s="875"/>
      <c r="P70" s="876" t="e">
        <f>#REF!+R316+R327+R420+R423+R426+R429</f>
        <v>#REF!</v>
      </c>
      <c r="Q70" s="853">
        <f>(AB71/1000)/2</f>
        <v>0</v>
      </c>
      <c r="R70" s="854"/>
      <c r="S70" s="855"/>
      <c r="T70" s="869">
        <v>0</v>
      </c>
      <c r="U70" s="870"/>
      <c r="V70" s="863">
        <v>0</v>
      </c>
      <c r="W70" s="863"/>
      <c r="X70" s="863"/>
      <c r="Y70" s="312">
        <f>AB78/1000</f>
        <v>0</v>
      </c>
      <c r="Z70" s="312"/>
      <c r="AA70" s="311">
        <v>0</v>
      </c>
      <c r="AB70" s="423">
        <f>AB79/1000</f>
        <v>0</v>
      </c>
      <c r="AC70" s="23"/>
    </row>
    <row r="71" spans="2:29" ht="15" hidden="1" customHeight="1" thickBot="1">
      <c r="B71" s="963"/>
      <c r="C71" s="937"/>
      <c r="D71" s="966" t="s">
        <v>43</v>
      </c>
      <c r="E71" s="967">
        <v>0</v>
      </c>
      <c r="F71" s="881">
        <f>AB71/1000</f>
        <v>0</v>
      </c>
      <c r="G71" s="884">
        <f>+F71-E71</f>
        <v>0</v>
      </c>
      <c r="H71" s="834" t="e">
        <f>F71/E71</f>
        <v>#DIV/0!</v>
      </c>
      <c r="I71" s="347" t="s">
        <v>42</v>
      </c>
      <c r="J71" s="304"/>
      <c r="K71" s="305"/>
      <c r="L71" s="305"/>
      <c r="M71" s="305"/>
      <c r="N71" s="305"/>
      <c r="O71" s="305"/>
      <c r="P71" s="305"/>
      <c r="Q71" s="339"/>
      <c r="R71" s="307"/>
      <c r="S71" s="309"/>
      <c r="T71" s="307"/>
      <c r="U71" s="307"/>
      <c r="V71" s="306"/>
      <c r="W71" s="306"/>
      <c r="X71" s="306"/>
      <c r="Y71" s="306"/>
      <c r="Z71" s="306"/>
      <c r="AA71" s="306"/>
      <c r="AB71" s="430">
        <f>SUM(AB72:AB79)</f>
        <v>0</v>
      </c>
      <c r="AC71" s="23"/>
    </row>
    <row r="72" spans="2:29" ht="15" hidden="1" customHeight="1" thickBot="1">
      <c r="B72" s="963"/>
      <c r="C72" s="937"/>
      <c r="D72" s="966"/>
      <c r="E72" s="882"/>
      <c r="F72" s="882"/>
      <c r="G72" s="885"/>
      <c r="H72" s="836"/>
      <c r="I72" s="349"/>
      <c r="J72" s="305" t="s">
        <v>141</v>
      </c>
      <c r="K72" s="305"/>
      <c r="L72" s="305"/>
      <c r="M72" s="305"/>
      <c r="N72" s="305"/>
      <c r="O72" s="305"/>
      <c r="P72" s="305"/>
      <c r="Q72" s="339"/>
      <c r="R72" s="307"/>
      <c r="S72" s="309"/>
      <c r="T72" s="307"/>
      <c r="U72" s="307"/>
      <c r="V72" s="306"/>
      <c r="W72" s="306"/>
      <c r="X72" s="306"/>
      <c r="Y72" s="306"/>
      <c r="Z72" s="306"/>
      <c r="AA72" s="306"/>
      <c r="AB72" s="430">
        <v>0</v>
      </c>
      <c r="AC72" s="23"/>
    </row>
    <row r="73" spans="2:29" ht="15" hidden="1" customHeight="1">
      <c r="B73" s="963"/>
      <c r="C73" s="937"/>
      <c r="D73" s="972"/>
      <c r="E73" s="882"/>
      <c r="F73" s="882"/>
      <c r="G73" s="885"/>
      <c r="H73" s="836"/>
      <c r="I73" s="840" t="s">
        <v>197</v>
      </c>
      <c r="J73" s="841"/>
      <c r="K73" s="841"/>
      <c r="L73" s="841"/>
      <c r="M73" s="841"/>
      <c r="N73" s="305"/>
      <c r="O73" s="305"/>
      <c r="P73" s="305"/>
      <c r="Q73" s="339"/>
      <c r="R73" s="307"/>
      <c r="S73" s="309"/>
      <c r="T73" s="307"/>
      <c r="U73" s="307"/>
      <c r="V73" s="306"/>
      <c r="W73" s="306"/>
      <c r="X73" s="306"/>
      <c r="Y73" s="306"/>
      <c r="Z73" s="306"/>
      <c r="AA73" s="306"/>
      <c r="AB73" s="424">
        <v>0</v>
      </c>
      <c r="AC73" s="23"/>
    </row>
    <row r="74" spans="2:29" ht="15" hidden="1" customHeight="1">
      <c r="B74" s="963"/>
      <c r="C74" s="937"/>
      <c r="D74" s="972"/>
      <c r="E74" s="882"/>
      <c r="F74" s="882"/>
      <c r="G74" s="885"/>
      <c r="H74" s="836"/>
      <c r="I74" s="840" t="s">
        <v>197</v>
      </c>
      <c r="J74" s="841"/>
      <c r="K74" s="841"/>
      <c r="L74" s="841"/>
      <c r="M74" s="841"/>
      <c r="N74" s="305"/>
      <c r="O74" s="305"/>
      <c r="P74" s="305"/>
      <c r="Q74" s="339"/>
      <c r="R74" s="307"/>
      <c r="S74" s="309"/>
      <c r="T74" s="307"/>
      <c r="U74" s="307"/>
      <c r="V74" s="306"/>
      <c r="W74" s="306"/>
      <c r="X74" s="306"/>
      <c r="Y74" s="306"/>
      <c r="Z74" s="306"/>
      <c r="AA74" s="306"/>
      <c r="AB74" s="424">
        <v>0</v>
      </c>
      <c r="AC74" s="23"/>
    </row>
    <row r="75" spans="2:29" ht="15" hidden="1" customHeight="1">
      <c r="B75" s="963"/>
      <c r="C75" s="937"/>
      <c r="D75" s="972"/>
      <c r="E75" s="882"/>
      <c r="F75" s="882"/>
      <c r="G75" s="885"/>
      <c r="H75" s="836"/>
      <c r="I75" s="840" t="s">
        <v>197</v>
      </c>
      <c r="J75" s="841"/>
      <c r="K75" s="841"/>
      <c r="L75" s="841"/>
      <c r="M75" s="841"/>
      <c r="N75" s="305"/>
      <c r="O75" s="305"/>
      <c r="P75" s="305"/>
      <c r="Q75" s="339"/>
      <c r="R75" s="307"/>
      <c r="S75" s="309"/>
      <c r="T75" s="307"/>
      <c r="U75" s="307"/>
      <c r="V75" s="306"/>
      <c r="W75" s="306"/>
      <c r="X75" s="306"/>
      <c r="Y75" s="306"/>
      <c r="Z75" s="306"/>
      <c r="AA75" s="306"/>
      <c r="AB75" s="424">
        <v>0</v>
      </c>
      <c r="AC75" s="23"/>
    </row>
    <row r="76" spans="2:29" ht="15" hidden="1" customHeight="1">
      <c r="B76" s="963"/>
      <c r="C76" s="937"/>
      <c r="D76" s="972"/>
      <c r="E76" s="882"/>
      <c r="F76" s="882"/>
      <c r="G76" s="885"/>
      <c r="H76" s="836"/>
      <c r="I76" s="840" t="s">
        <v>197</v>
      </c>
      <c r="J76" s="841"/>
      <c r="K76" s="841"/>
      <c r="L76" s="841"/>
      <c r="M76" s="841"/>
      <c r="N76" s="305"/>
      <c r="O76" s="305"/>
      <c r="P76" s="305"/>
      <c r="Q76" s="339"/>
      <c r="R76" s="307"/>
      <c r="S76" s="309"/>
      <c r="T76" s="307"/>
      <c r="U76" s="307"/>
      <c r="V76" s="306"/>
      <c r="W76" s="306"/>
      <c r="X76" s="306"/>
      <c r="Y76" s="306"/>
      <c r="Z76" s="306"/>
      <c r="AA76" s="306"/>
      <c r="AB76" s="424">
        <v>0</v>
      </c>
      <c r="AC76" s="23"/>
    </row>
    <row r="77" spans="2:29" ht="15" hidden="1" customHeight="1">
      <c r="B77" s="963"/>
      <c r="C77" s="937"/>
      <c r="D77" s="972"/>
      <c r="E77" s="882"/>
      <c r="F77" s="882"/>
      <c r="G77" s="885"/>
      <c r="H77" s="836"/>
      <c r="I77" s="840" t="s">
        <v>197</v>
      </c>
      <c r="J77" s="841"/>
      <c r="K77" s="841"/>
      <c r="L77" s="841"/>
      <c r="M77" s="841"/>
      <c r="N77" s="305"/>
      <c r="O77" s="305"/>
      <c r="P77" s="305"/>
      <c r="Q77" s="339"/>
      <c r="R77" s="307"/>
      <c r="S77" s="309"/>
      <c r="T77" s="307"/>
      <c r="U77" s="307"/>
      <c r="V77" s="306"/>
      <c r="W77" s="306"/>
      <c r="X77" s="306"/>
      <c r="Y77" s="306"/>
      <c r="Z77" s="306"/>
      <c r="AA77" s="306"/>
      <c r="AB77" s="424">
        <v>0</v>
      </c>
      <c r="AC77" s="23"/>
    </row>
    <row r="78" spans="2:29" ht="15" hidden="1" customHeight="1">
      <c r="B78" s="963"/>
      <c r="C78" s="937"/>
      <c r="D78" s="972"/>
      <c r="E78" s="882"/>
      <c r="F78" s="882"/>
      <c r="G78" s="885"/>
      <c r="H78" s="836"/>
      <c r="I78" s="840" t="s">
        <v>197</v>
      </c>
      <c r="J78" s="841"/>
      <c r="K78" s="841"/>
      <c r="L78" s="841"/>
      <c r="M78" s="841"/>
      <c r="N78" s="305"/>
      <c r="O78" s="305"/>
      <c r="P78" s="305"/>
      <c r="Q78" s="339"/>
      <c r="R78" s="307"/>
      <c r="S78" s="309"/>
      <c r="T78" s="307"/>
      <c r="U78" s="307"/>
      <c r="V78" s="306"/>
      <c r="W78" s="306"/>
      <c r="X78" s="306"/>
      <c r="Y78" s="306"/>
      <c r="Z78" s="306"/>
      <c r="AA78" s="306"/>
      <c r="AB78" s="424">
        <v>0</v>
      </c>
      <c r="AC78" s="23"/>
    </row>
    <row r="79" spans="2:29" ht="15" hidden="1" customHeight="1" thickBot="1">
      <c r="B79" s="963"/>
      <c r="C79" s="937"/>
      <c r="D79" s="973"/>
      <c r="E79" s="898"/>
      <c r="F79" s="898"/>
      <c r="G79" s="913"/>
      <c r="H79" s="835"/>
      <c r="I79" s="894" t="s">
        <v>14</v>
      </c>
      <c r="J79" s="895"/>
      <c r="K79" s="895"/>
      <c r="L79" s="895"/>
      <c r="M79" s="895"/>
      <c r="N79" s="895"/>
      <c r="O79" s="895"/>
      <c r="P79" s="895"/>
      <c r="Q79" s="335"/>
      <c r="R79" s="336"/>
      <c r="S79" s="337"/>
      <c r="T79" s="336"/>
      <c r="U79" s="336"/>
      <c r="V79" s="338"/>
      <c r="W79" s="338"/>
      <c r="X79" s="338"/>
      <c r="Y79" s="338"/>
      <c r="Z79" s="338"/>
      <c r="AA79" s="338"/>
      <c r="AB79" s="421">
        <v>0</v>
      </c>
      <c r="AC79" s="23"/>
    </row>
    <row r="80" spans="2:29" ht="15" customHeight="1">
      <c r="B80" s="963"/>
      <c r="C80" s="937"/>
      <c r="D80" s="51" t="s">
        <v>127</v>
      </c>
      <c r="E80" s="31">
        <f>SUM(E81:E87)</f>
        <v>1261.42</v>
      </c>
      <c r="F80" s="31">
        <f>SUM(F81,F84)</f>
        <v>1469.441</v>
      </c>
      <c r="G80" s="100">
        <f>+F80-E80</f>
        <v>208.02099999999996</v>
      </c>
      <c r="H80" s="236">
        <f>F80/E80</f>
        <v>1.1649101805901285</v>
      </c>
      <c r="I80" s="883">
        <f>SUM(M80,Q80,AB80)</f>
        <v>1469.441</v>
      </c>
      <c r="J80" s="854"/>
      <c r="K80" s="854"/>
      <c r="L80" s="855"/>
      <c r="M80" s="853">
        <f>Q80</f>
        <v>0</v>
      </c>
      <c r="N80" s="854"/>
      <c r="O80" s="854"/>
      <c r="P80" s="855" t="e">
        <f>#REF!+R320+R331+R424+R427+R430+R433</f>
        <v>#REF!</v>
      </c>
      <c r="Q80" s="853">
        <v>0</v>
      </c>
      <c r="R80" s="854"/>
      <c r="S80" s="855"/>
      <c r="T80" s="869">
        <v>0</v>
      </c>
      <c r="U80" s="870"/>
      <c r="V80" s="863"/>
      <c r="W80" s="863"/>
      <c r="X80" s="863"/>
      <c r="Y80" s="312">
        <v>0</v>
      </c>
      <c r="Z80" s="312"/>
      <c r="AA80" s="311">
        <v>0</v>
      </c>
      <c r="AB80" s="423">
        <f>(AB84+AB81)/1000</f>
        <v>1469.441</v>
      </c>
      <c r="AC80" s="23"/>
    </row>
    <row r="81" spans="2:29" ht="15" customHeight="1" thickBot="1">
      <c r="B81" s="963"/>
      <c r="C81" s="937"/>
      <c r="D81" s="966" t="s">
        <v>349</v>
      </c>
      <c r="E81" s="974">
        <v>10</v>
      </c>
      <c r="F81" s="881">
        <f>AB81/1000</f>
        <v>18.021000000000001</v>
      </c>
      <c r="G81" s="884">
        <f>+F81-E81</f>
        <v>8.0210000000000008</v>
      </c>
      <c r="H81" s="834" t="s">
        <v>352</v>
      </c>
      <c r="I81" s="347" t="s">
        <v>350</v>
      </c>
      <c r="J81" s="304"/>
      <c r="K81" s="358"/>
      <c r="L81" s="358"/>
      <c r="M81" s="358"/>
      <c r="N81" s="358"/>
      <c r="O81" s="358"/>
      <c r="P81" s="358"/>
      <c r="Q81" s="339"/>
      <c r="R81" s="307"/>
      <c r="S81" s="309"/>
      <c r="T81" s="307"/>
      <c r="U81" s="307"/>
      <c r="V81" s="306"/>
      <c r="W81" s="306"/>
      <c r="X81" s="306"/>
      <c r="Y81" s="306"/>
      <c r="Z81" s="306"/>
      <c r="AA81" s="306"/>
      <c r="AB81" s="430">
        <f>SUM(AB82:AB83)</f>
        <v>18021</v>
      </c>
      <c r="AC81" s="23"/>
    </row>
    <row r="82" spans="2:29" ht="15" hidden="1" customHeight="1">
      <c r="B82" s="963"/>
      <c r="C82" s="937"/>
      <c r="D82" s="966"/>
      <c r="E82" s="975"/>
      <c r="F82" s="882"/>
      <c r="G82" s="885"/>
      <c r="H82" s="836"/>
      <c r="I82" s="349"/>
      <c r="J82" s="358" t="s">
        <v>141</v>
      </c>
      <c r="K82" s="358"/>
      <c r="L82" s="358"/>
      <c r="M82" s="358"/>
      <c r="N82" s="358"/>
      <c r="O82" s="358"/>
      <c r="P82" s="358"/>
      <c r="Q82" s="339"/>
      <c r="R82" s="307"/>
      <c r="S82" s="309"/>
      <c r="T82" s="307"/>
      <c r="U82" s="307"/>
      <c r="V82" s="306"/>
      <c r="W82" s="306"/>
      <c r="X82" s="306"/>
      <c r="Y82" s="306"/>
      <c r="Z82" s="306"/>
      <c r="AA82" s="306"/>
      <c r="AB82" s="430">
        <v>0</v>
      </c>
      <c r="AC82" s="23"/>
    </row>
    <row r="83" spans="2:29" ht="15" customHeight="1">
      <c r="B83" s="963"/>
      <c r="C83" s="937"/>
      <c r="D83" s="973"/>
      <c r="E83" s="976"/>
      <c r="F83" s="898"/>
      <c r="G83" s="913"/>
      <c r="H83" s="835"/>
      <c r="I83" s="840" t="s">
        <v>351</v>
      </c>
      <c r="J83" s="841"/>
      <c r="K83" s="841"/>
      <c r="L83" s="841"/>
      <c r="M83" s="841"/>
      <c r="N83" s="841"/>
      <c r="O83" s="841"/>
      <c r="P83" s="841"/>
      <c r="Q83" s="841"/>
      <c r="R83" s="841"/>
      <c r="S83" s="841"/>
      <c r="T83" s="841"/>
      <c r="U83" s="841"/>
      <c r="V83" s="841"/>
      <c r="W83" s="841"/>
      <c r="X83" s="841"/>
      <c r="Y83" s="841"/>
      <c r="Z83" s="306"/>
      <c r="AA83" s="306"/>
      <c r="AB83" s="424">
        <v>18021</v>
      </c>
      <c r="AC83" s="23"/>
    </row>
    <row r="84" spans="2:29" ht="15" customHeight="1" thickBot="1">
      <c r="B84" s="963"/>
      <c r="C84" s="937"/>
      <c r="D84" s="965" t="s">
        <v>148</v>
      </c>
      <c r="E84" s="967">
        <f>1251420/1000</f>
        <v>1251.42</v>
      </c>
      <c r="F84" s="882">
        <f>AB84/1000</f>
        <v>1451.42</v>
      </c>
      <c r="G84" s="885">
        <f>+F84-E84</f>
        <v>200</v>
      </c>
      <c r="H84" s="836">
        <f>F84/E84</f>
        <v>1.1598184462450656</v>
      </c>
      <c r="I84" s="347" t="s">
        <v>148</v>
      </c>
      <c r="J84" s="304"/>
      <c r="K84" s="305"/>
      <c r="L84" s="305"/>
      <c r="M84" s="305"/>
      <c r="N84" s="305"/>
      <c r="O84" s="305"/>
      <c r="P84" s="305"/>
      <c r="Q84" s="339"/>
      <c r="R84" s="307"/>
      <c r="S84" s="309"/>
      <c r="T84" s="307"/>
      <c r="U84" s="307"/>
      <c r="V84" s="306"/>
      <c r="W84" s="306"/>
      <c r="X84" s="306"/>
      <c r="Y84" s="306"/>
      <c r="Z84" s="306"/>
      <c r="AA84" s="306"/>
      <c r="AB84" s="430">
        <f>SUM(AB85:AB87)</f>
        <v>1451420</v>
      </c>
      <c r="AC84" s="23"/>
    </row>
    <row r="85" spans="2:29" ht="15" hidden="1" customHeight="1" thickBot="1">
      <c r="B85" s="963"/>
      <c r="C85" s="937"/>
      <c r="D85" s="966"/>
      <c r="E85" s="882"/>
      <c r="F85" s="882"/>
      <c r="G85" s="885"/>
      <c r="H85" s="836"/>
      <c r="I85" s="349"/>
      <c r="J85" s="305" t="s">
        <v>141</v>
      </c>
      <c r="K85" s="305"/>
      <c r="L85" s="305"/>
      <c r="M85" s="305"/>
      <c r="N85" s="305"/>
      <c r="O85" s="305"/>
      <c r="P85" s="305"/>
      <c r="Q85" s="339"/>
      <c r="R85" s="307"/>
      <c r="S85" s="309"/>
      <c r="T85" s="307"/>
      <c r="U85" s="307"/>
      <c r="V85" s="306"/>
      <c r="W85" s="306"/>
      <c r="X85" s="306"/>
      <c r="Y85" s="306"/>
      <c r="Z85" s="306"/>
      <c r="AA85" s="306"/>
      <c r="AB85" s="430">
        <v>0</v>
      </c>
      <c r="AC85" s="23"/>
    </row>
    <row r="86" spans="2:29" ht="15" customHeight="1" thickBot="1">
      <c r="B86" s="963"/>
      <c r="C86" s="937"/>
      <c r="D86" s="966"/>
      <c r="E86" s="882"/>
      <c r="F86" s="882"/>
      <c r="G86" s="885"/>
      <c r="H86" s="836"/>
      <c r="I86" s="840" t="s">
        <v>372</v>
      </c>
      <c r="J86" s="841"/>
      <c r="K86" s="841"/>
      <c r="L86" s="841"/>
      <c r="M86" s="841"/>
      <c r="N86" s="841"/>
      <c r="O86" s="841"/>
      <c r="P86" s="841"/>
      <c r="Q86" s="841"/>
      <c r="R86" s="841"/>
      <c r="S86" s="841"/>
      <c r="T86" s="841"/>
      <c r="U86" s="841"/>
      <c r="V86" s="841"/>
      <c r="W86" s="841"/>
      <c r="X86" s="841"/>
      <c r="Y86" s="841"/>
      <c r="Z86" s="306"/>
      <c r="AA86" s="306"/>
      <c r="AB86" s="424">
        <v>1400000</v>
      </c>
      <c r="AC86" s="23"/>
    </row>
    <row r="87" spans="2:29" ht="15" customHeight="1" thickBot="1">
      <c r="B87" s="964"/>
      <c r="C87" s="938"/>
      <c r="D87" s="966"/>
      <c r="E87" s="968"/>
      <c r="F87" s="968"/>
      <c r="G87" s="969"/>
      <c r="H87" s="979"/>
      <c r="I87" s="970" t="s">
        <v>260</v>
      </c>
      <c r="J87" s="971"/>
      <c r="K87" s="971"/>
      <c r="L87" s="971"/>
      <c r="M87" s="971"/>
      <c r="N87" s="971"/>
      <c r="O87" s="971"/>
      <c r="P87" s="971"/>
      <c r="Q87" s="350"/>
      <c r="R87" s="351"/>
      <c r="S87" s="352"/>
      <c r="T87" s="351"/>
      <c r="U87" s="351"/>
      <c r="V87" s="318"/>
      <c r="W87" s="318"/>
      <c r="X87" s="318"/>
      <c r="Y87" s="318"/>
      <c r="Z87" s="318"/>
      <c r="AA87" s="318"/>
      <c r="AB87" s="431">
        <v>51420</v>
      </c>
      <c r="AC87" s="23"/>
    </row>
    <row r="88" spans="2:29" ht="15" customHeight="1">
      <c r="B88" s="22"/>
      <c r="C88" s="22"/>
      <c r="D88" s="22"/>
      <c r="E88" s="32"/>
      <c r="F88" s="22"/>
      <c r="G88" s="32"/>
      <c r="H88" s="32"/>
      <c r="I88" s="319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412"/>
      <c r="AC88" s="23"/>
    </row>
    <row r="89" spans="2:29" ht="15" customHeight="1">
      <c r="B89" s="22"/>
      <c r="C89" s="22"/>
      <c r="D89" s="22"/>
      <c r="E89" s="32"/>
      <c r="F89" s="22"/>
      <c r="G89" s="32"/>
      <c r="H89" s="32"/>
      <c r="I89" s="319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432"/>
      <c r="AC89" s="23"/>
    </row>
    <row r="90" spans="2:29" ht="15" customHeight="1">
      <c r="B90" s="22"/>
      <c r="C90" s="22"/>
      <c r="D90" s="22"/>
      <c r="E90" s="32"/>
      <c r="F90" s="22"/>
      <c r="G90" s="32"/>
      <c r="H90" s="32"/>
      <c r="I90" s="319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432"/>
      <c r="AC90" s="23"/>
    </row>
    <row r="91" spans="2:29" ht="15" customHeight="1">
      <c r="B91" s="22"/>
      <c r="C91" s="22"/>
      <c r="D91" s="22"/>
      <c r="E91" s="34"/>
      <c r="F91" s="22"/>
      <c r="G91" s="34"/>
      <c r="H91" s="34"/>
      <c r="I91" s="319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432"/>
      <c r="AC91" s="23"/>
    </row>
    <row r="92" spans="2:29" ht="15" customHeight="1">
      <c r="B92" s="22"/>
      <c r="C92" s="22"/>
      <c r="D92" s="22"/>
      <c r="E92" s="32"/>
      <c r="F92" s="22"/>
      <c r="G92" s="32"/>
      <c r="H92" s="32"/>
      <c r="I92" s="319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432"/>
      <c r="AC92" s="23"/>
    </row>
    <row r="93" spans="2:29" ht="15" customHeight="1">
      <c r="B93" s="22"/>
      <c r="C93" s="22"/>
      <c r="D93" s="22"/>
      <c r="E93" s="32"/>
      <c r="F93" s="22"/>
      <c r="G93" s="32"/>
      <c r="H93" s="32"/>
      <c r="I93" s="319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432"/>
      <c r="AC93" s="23"/>
    </row>
    <row r="94" spans="2:29" ht="15" customHeight="1">
      <c r="B94" s="22"/>
      <c r="C94" s="22"/>
      <c r="D94" s="22"/>
      <c r="E94" s="32"/>
      <c r="F94" s="22"/>
      <c r="G94" s="32"/>
      <c r="H94" s="32"/>
      <c r="I94" s="319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432"/>
      <c r="AC94" s="23"/>
    </row>
    <row r="95" spans="2:29" ht="15" customHeight="1">
      <c r="B95" s="22"/>
      <c r="C95" s="22"/>
      <c r="D95" s="22"/>
      <c r="E95" s="32"/>
      <c r="F95" s="22"/>
      <c r="G95" s="32"/>
      <c r="H95" s="32"/>
      <c r="I95" s="319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432"/>
      <c r="AC95" s="23"/>
    </row>
    <row r="96" spans="2:29" ht="15" customHeight="1">
      <c r="B96" s="22"/>
      <c r="C96" s="22"/>
      <c r="D96" s="22"/>
      <c r="E96" s="32"/>
      <c r="F96" s="22"/>
      <c r="G96" s="32"/>
      <c r="H96" s="32"/>
      <c r="I96" s="319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432"/>
      <c r="AC96" s="23"/>
    </row>
    <row r="97" spans="2:29" ht="15" customHeight="1">
      <c r="B97" s="22"/>
      <c r="C97" s="22"/>
      <c r="D97" s="22"/>
      <c r="E97" s="32"/>
      <c r="F97" s="22"/>
      <c r="G97" s="32"/>
      <c r="H97" s="32"/>
      <c r="I97" s="319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432"/>
      <c r="AC97" s="23"/>
    </row>
    <row r="98" spans="2:29" ht="15" customHeight="1">
      <c r="B98" s="22"/>
      <c r="C98" s="22"/>
      <c r="D98" s="22"/>
      <c r="E98" s="32"/>
      <c r="F98" s="22"/>
      <c r="G98" s="32"/>
      <c r="H98" s="32"/>
      <c r="I98" s="319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432"/>
      <c r="AC98" s="23"/>
    </row>
    <row r="99" spans="2:29" ht="15" customHeight="1">
      <c r="B99" s="22"/>
      <c r="C99" s="22"/>
      <c r="D99" s="22"/>
      <c r="E99" s="32"/>
      <c r="F99" s="22"/>
      <c r="G99" s="32"/>
      <c r="H99" s="32"/>
      <c r="I99" s="319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432"/>
      <c r="AC99" s="23"/>
    </row>
    <row r="100" spans="2:29" ht="15" customHeight="1">
      <c r="B100" s="22"/>
      <c r="C100" s="22"/>
      <c r="D100" s="22"/>
      <c r="E100" s="32"/>
      <c r="F100" s="22"/>
      <c r="G100" s="32"/>
      <c r="H100" s="32"/>
      <c r="I100" s="319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432"/>
      <c r="AC100" s="23"/>
    </row>
    <row r="101" spans="2:29" ht="15" customHeight="1">
      <c r="B101" s="22"/>
      <c r="C101" s="22"/>
      <c r="D101" s="22"/>
      <c r="E101" s="32"/>
      <c r="F101" s="22"/>
      <c r="G101" s="32"/>
      <c r="H101" s="32"/>
      <c r="I101" s="319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432"/>
      <c r="AC101" s="23"/>
    </row>
    <row r="102" spans="2:29" ht="15" customHeight="1">
      <c r="B102" s="22"/>
    </row>
  </sheetData>
  <mergeCells count="227">
    <mergeCell ref="E39:E41"/>
    <mergeCell ref="I49:L49"/>
    <mergeCell ref="I37:P37"/>
    <mergeCell ref="H71:H79"/>
    <mergeCell ref="E71:E79"/>
    <mergeCell ref="G71:G79"/>
    <mergeCell ref="I79:P79"/>
    <mergeCell ref="E50:E53"/>
    <mergeCell ref="I52:P52"/>
    <mergeCell ref="F50:F53"/>
    <mergeCell ref="E67:E68"/>
    <mergeCell ref="G67:G68"/>
    <mergeCell ref="G61:G66"/>
    <mergeCell ref="M59:P59"/>
    <mergeCell ref="I69:L69"/>
    <mergeCell ref="M69:P69"/>
    <mergeCell ref="I59:L59"/>
    <mergeCell ref="I70:L70"/>
    <mergeCell ref="I74:M74"/>
    <mergeCell ref="F71:F79"/>
    <mergeCell ref="F67:F68"/>
    <mergeCell ref="M49:P49"/>
    <mergeCell ref="I60:L60"/>
    <mergeCell ref="I45:L45"/>
    <mergeCell ref="D12:D13"/>
    <mergeCell ref="H84:H87"/>
    <mergeCell ref="I38:P38"/>
    <mergeCell ref="D10:D11"/>
    <mergeCell ref="E10:E11"/>
    <mergeCell ref="G10:G11"/>
    <mergeCell ref="I11:P11"/>
    <mergeCell ref="I10:L10"/>
    <mergeCell ref="F10:F11"/>
    <mergeCell ref="D56:D58"/>
    <mergeCell ref="I29:N29"/>
    <mergeCell ref="D36:D38"/>
    <mergeCell ref="E36:E38"/>
    <mergeCell ref="D42:D43"/>
    <mergeCell ref="E42:E43"/>
    <mergeCell ref="G42:G43"/>
    <mergeCell ref="I42:L42"/>
    <mergeCell ref="I43:P43"/>
    <mergeCell ref="I75:M75"/>
    <mergeCell ref="I56:L56"/>
    <mergeCell ref="I58:P58"/>
    <mergeCell ref="G50:G53"/>
    <mergeCell ref="D50:D53"/>
    <mergeCell ref="I86:Y86"/>
    <mergeCell ref="B69:B87"/>
    <mergeCell ref="V80:X80"/>
    <mergeCell ref="T80:U80"/>
    <mergeCell ref="Q80:S80"/>
    <mergeCell ref="I80:L80"/>
    <mergeCell ref="M80:P80"/>
    <mergeCell ref="D84:D87"/>
    <mergeCell ref="E84:E87"/>
    <mergeCell ref="G84:G87"/>
    <mergeCell ref="I87:P87"/>
    <mergeCell ref="F84:F87"/>
    <mergeCell ref="D71:D79"/>
    <mergeCell ref="V70:X70"/>
    <mergeCell ref="D81:D83"/>
    <mergeCell ref="E81:E83"/>
    <mergeCell ref="F81:F83"/>
    <mergeCell ref="G81:G83"/>
    <mergeCell ref="H81:H83"/>
    <mergeCell ref="I83:Y83"/>
    <mergeCell ref="C67:C68"/>
    <mergeCell ref="D67:D68"/>
    <mergeCell ref="I68:P68"/>
    <mergeCell ref="E61:E66"/>
    <mergeCell ref="C70:C87"/>
    <mergeCell ref="I50:L50"/>
    <mergeCell ref="C60:C66"/>
    <mergeCell ref="B2:AB2"/>
    <mergeCell ref="B4:D4"/>
    <mergeCell ref="I4:AB4"/>
    <mergeCell ref="B5:D5"/>
    <mergeCell ref="I6:L6"/>
    <mergeCell ref="M6:P6"/>
    <mergeCell ref="Q6:S6"/>
    <mergeCell ref="I5:AB5"/>
    <mergeCell ref="B7:D7"/>
    <mergeCell ref="I7:L7"/>
    <mergeCell ref="M7:P7"/>
    <mergeCell ref="Q7:S7"/>
    <mergeCell ref="E5:E6"/>
    <mergeCell ref="G5:G6"/>
    <mergeCell ref="V6:X6"/>
    <mergeCell ref="V7:X7"/>
    <mergeCell ref="F5:F6"/>
    <mergeCell ref="T6:U6"/>
    <mergeCell ref="T7:U7"/>
    <mergeCell ref="H5:H6"/>
    <mergeCell ref="D61:D66"/>
    <mergeCell ref="I66:S66"/>
    <mergeCell ref="F61:F66"/>
    <mergeCell ref="D46:D48"/>
    <mergeCell ref="E46:E48"/>
    <mergeCell ref="F46:F48"/>
    <mergeCell ref="G46:G48"/>
    <mergeCell ref="I46:L46"/>
    <mergeCell ref="I48:P48"/>
    <mergeCell ref="I54:L54"/>
    <mergeCell ref="E56:E58"/>
    <mergeCell ref="F56:F58"/>
    <mergeCell ref="G56:G58"/>
    <mergeCell ref="Q55:S55"/>
    <mergeCell ref="Q59:S59"/>
    <mergeCell ref="I55:L55"/>
    <mergeCell ref="I62:M62"/>
    <mergeCell ref="E12:E13"/>
    <mergeCell ref="Q44:S44"/>
    <mergeCell ref="D18:D25"/>
    <mergeCell ref="D39:D41"/>
    <mergeCell ref="D14:D15"/>
    <mergeCell ref="E14:E15"/>
    <mergeCell ref="F14:F15"/>
    <mergeCell ref="G14:G15"/>
    <mergeCell ref="I14:L14"/>
    <mergeCell ref="I15:P15"/>
    <mergeCell ref="I25:U25"/>
    <mergeCell ref="F36:F38"/>
    <mergeCell ref="F18:F25"/>
    <mergeCell ref="D26:D35"/>
    <mergeCell ref="H26:H35"/>
    <mergeCell ref="G26:G35"/>
    <mergeCell ref="F26:F35"/>
    <mergeCell ref="E26:E35"/>
    <mergeCell ref="I27:S27"/>
    <mergeCell ref="I34:R34"/>
    <mergeCell ref="I35:O35"/>
    <mergeCell ref="E18:E25"/>
    <mergeCell ref="G18:G25"/>
    <mergeCell ref="I18:L18"/>
    <mergeCell ref="I19:S19"/>
    <mergeCell ref="F12:F13"/>
    <mergeCell ref="G12:G13"/>
    <mergeCell ref="F39:F41"/>
    <mergeCell ref="F42:F43"/>
    <mergeCell ref="I16:L16"/>
    <mergeCell ref="M16:P16"/>
    <mergeCell ref="I17:L17"/>
    <mergeCell ref="M44:P44"/>
    <mergeCell ref="I32:Q32"/>
    <mergeCell ref="I39:L39"/>
    <mergeCell ref="G39:G41"/>
    <mergeCell ref="G36:G38"/>
    <mergeCell ref="I36:L36"/>
    <mergeCell ref="I44:L44"/>
    <mergeCell ref="I13:L13"/>
    <mergeCell ref="Q17:S17"/>
    <mergeCell ref="I21:N21"/>
    <mergeCell ref="H14:H15"/>
    <mergeCell ref="H12:H13"/>
    <mergeCell ref="I40:U40"/>
    <mergeCell ref="T60:U60"/>
    <mergeCell ref="T69:U69"/>
    <mergeCell ref="T70:U70"/>
    <mergeCell ref="V55:X55"/>
    <mergeCell ref="V59:X59"/>
    <mergeCell ref="V60:X60"/>
    <mergeCell ref="Q60:S60"/>
    <mergeCell ref="M54:P54"/>
    <mergeCell ref="Q54:S54"/>
    <mergeCell ref="V54:X54"/>
    <mergeCell ref="M70:P70"/>
    <mergeCell ref="Q70:S70"/>
    <mergeCell ref="M55:P55"/>
    <mergeCell ref="M60:P60"/>
    <mergeCell ref="V69:X69"/>
    <mergeCell ref="V8:X8"/>
    <mergeCell ref="V9:X9"/>
    <mergeCell ref="V16:X16"/>
    <mergeCell ref="V17:X17"/>
    <mergeCell ref="V44:X44"/>
    <mergeCell ref="M8:P8"/>
    <mergeCell ref="Q8:S8"/>
    <mergeCell ref="Q69:S69"/>
    <mergeCell ref="T55:U55"/>
    <mergeCell ref="Q45:S45"/>
    <mergeCell ref="T45:U45"/>
    <mergeCell ref="T54:U54"/>
    <mergeCell ref="T8:U8"/>
    <mergeCell ref="V49:X49"/>
    <mergeCell ref="V45:X45"/>
    <mergeCell ref="Q49:S49"/>
    <mergeCell ref="T9:U9"/>
    <mergeCell ref="T16:U16"/>
    <mergeCell ref="T17:U17"/>
    <mergeCell ref="T44:U44"/>
    <mergeCell ref="T49:U49"/>
    <mergeCell ref="T59:U59"/>
    <mergeCell ref="I41:U41"/>
    <mergeCell ref="I30:N30"/>
    <mergeCell ref="Q9:S9"/>
    <mergeCell ref="Q16:S16"/>
    <mergeCell ref="I73:M73"/>
    <mergeCell ref="I78:M78"/>
    <mergeCell ref="I77:M77"/>
    <mergeCell ref="I8:L8"/>
    <mergeCell ref="I23:O23"/>
    <mergeCell ref="I31:O31"/>
    <mergeCell ref="I26:L26"/>
    <mergeCell ref="I76:M76"/>
    <mergeCell ref="I20:S20"/>
    <mergeCell ref="I28:S28"/>
    <mergeCell ref="M17:P17"/>
    <mergeCell ref="I33:Q33"/>
    <mergeCell ref="M45:P45"/>
    <mergeCell ref="I53:P53"/>
    <mergeCell ref="I47:P47"/>
    <mergeCell ref="I51:P51"/>
    <mergeCell ref="I22:N22"/>
    <mergeCell ref="I24:O24"/>
    <mergeCell ref="I57:O57"/>
    <mergeCell ref="I9:L9"/>
    <mergeCell ref="M9:P9"/>
    <mergeCell ref="H10:H11"/>
    <mergeCell ref="H39:H41"/>
    <mergeCell ref="H36:H38"/>
    <mergeCell ref="H18:H25"/>
    <mergeCell ref="H67:H68"/>
    <mergeCell ref="H61:H66"/>
    <mergeCell ref="H56:H58"/>
    <mergeCell ref="H50:H53"/>
    <mergeCell ref="H46:H48"/>
  </mergeCells>
  <phoneticPr fontId="20" type="noConversion"/>
  <printOptions horizontalCentered="1"/>
  <pageMargins left="0.51138889789581299" right="0.59041666984558105" top="0.23597222566604614" bottom="0.39347222447395325" header="0" footer="0"/>
  <pageSetup paperSize="9" scale="4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F8CBAC"/>
  </sheetPr>
  <dimension ref="A1:AK296"/>
  <sheetViews>
    <sheetView showGridLines="0" view="pageBreakPreview" zoomScale="115" zoomScaleNormal="100" zoomScaleSheetLayoutView="115" workbookViewId="0">
      <pane ySplit="7" topLeftCell="A108" activePane="bottomLeft" state="frozen"/>
      <selection pane="bottomLeft" activeCell="W269" sqref="W269"/>
    </sheetView>
  </sheetViews>
  <sheetFormatPr defaultColWidth="8.875" defaultRowHeight="11.25"/>
  <cols>
    <col min="1" max="1" width="8.375" style="36" customWidth="1"/>
    <col min="2" max="2" width="9" style="36" customWidth="1"/>
    <col min="3" max="3" width="10.75" style="36" customWidth="1"/>
    <col min="4" max="4" width="15.25" style="42" bestFit="1" customWidth="1"/>
    <col min="5" max="5" width="13.375" style="36" bestFit="1" customWidth="1"/>
    <col min="6" max="6" width="13.875" style="65" bestFit="1" customWidth="1"/>
    <col min="7" max="7" width="11.25" style="65" customWidth="1"/>
    <col min="8" max="8" width="2" style="728" customWidth="1"/>
    <col min="9" max="9" width="3.875" style="727" customWidth="1"/>
    <col min="10" max="11" width="1.75" style="727" customWidth="1"/>
    <col min="12" max="12" width="6.375" style="727" customWidth="1"/>
    <col min="13" max="13" width="3.25" style="727" customWidth="1"/>
    <col min="14" max="14" width="2" style="727" customWidth="1"/>
    <col min="15" max="15" width="0.25" style="727" customWidth="1"/>
    <col min="16" max="16" width="5.375" style="727" customWidth="1"/>
    <col min="17" max="17" width="7.25" style="413" customWidth="1"/>
    <col min="18" max="18" width="3.875" style="413" customWidth="1"/>
    <col min="19" max="19" width="5.5" style="727" customWidth="1"/>
    <col min="20" max="20" width="5.75" style="727" customWidth="1"/>
    <col min="21" max="21" width="0.875" style="727" customWidth="1"/>
    <col min="22" max="23" width="11.5" style="727" customWidth="1"/>
    <col min="24" max="24" width="13.75" style="414" customWidth="1"/>
    <col min="25" max="25" width="3.125" style="36" customWidth="1"/>
    <col min="26" max="26" width="14.875" style="36" hidden="1" customWidth="1"/>
    <col min="27" max="27" width="12.25" style="36" hidden="1" customWidth="1"/>
    <col min="28" max="28" width="13.75" style="36" hidden="1" customWidth="1"/>
    <col min="29" max="29" width="10.5" style="36" hidden="1" customWidth="1"/>
    <col min="30" max="30" width="12.5" style="36" hidden="1" customWidth="1"/>
    <col min="31" max="31" width="10.5" style="36" hidden="1" customWidth="1"/>
    <col min="32" max="32" width="14.875" style="36" hidden="1" customWidth="1"/>
    <col min="33" max="33" width="8.875" style="36" hidden="1" customWidth="1"/>
    <col min="34" max="34" width="14.875" style="36" hidden="1" customWidth="1"/>
    <col min="35" max="35" width="10.625" style="36" hidden="1" customWidth="1"/>
    <col min="36" max="36" width="14.875" style="36" hidden="1" customWidth="1"/>
    <col min="37" max="37" width="0" style="36" hidden="1" customWidth="1"/>
    <col min="38" max="258" width="9" style="36"/>
    <col min="259" max="259" width="8.375" style="36" customWidth="1"/>
    <col min="260" max="260" width="9" style="36" customWidth="1"/>
    <col min="261" max="261" width="10.75" style="36" customWidth="1"/>
    <col min="262" max="262" width="11" style="36" customWidth="1"/>
    <col min="263" max="263" width="10.5" style="36" customWidth="1"/>
    <col min="264" max="264" width="11.25" style="36" bestFit="1" customWidth="1"/>
    <col min="265" max="265" width="2" style="36" customWidth="1"/>
    <col min="266" max="268" width="1.75" style="36" customWidth="1"/>
    <col min="269" max="269" width="3.125" style="36" customWidth="1"/>
    <col min="270" max="270" width="3.25" style="36" customWidth="1"/>
    <col min="271" max="271" width="2" style="36" customWidth="1"/>
    <col min="272" max="272" width="4.5" style="36" customWidth="1"/>
    <col min="273" max="273" width="6.125" style="36" customWidth="1"/>
    <col min="274" max="274" width="11.125" style="36" customWidth="1"/>
    <col min="275" max="275" width="3.875" style="36" customWidth="1"/>
    <col min="276" max="276" width="6.25" style="36" customWidth="1"/>
    <col min="277" max="277" width="3.875" style="36" customWidth="1"/>
    <col min="278" max="278" width="5.25" style="36" bestFit="1" customWidth="1"/>
    <col min="279" max="279" width="25.25" style="36" customWidth="1"/>
    <col min="280" max="280" width="12.625" style="36" customWidth="1"/>
    <col min="281" max="281" width="0" style="36" hidden="1" customWidth="1"/>
    <col min="282" max="514" width="9" style="36"/>
    <col min="515" max="515" width="8.375" style="36" customWidth="1"/>
    <col min="516" max="516" width="9" style="36" customWidth="1"/>
    <col min="517" max="517" width="10.75" style="36" customWidth="1"/>
    <col min="518" max="518" width="11" style="36" customWidth="1"/>
    <col min="519" max="519" width="10.5" style="36" customWidth="1"/>
    <col min="520" max="520" width="11.25" style="36" bestFit="1" customWidth="1"/>
    <col min="521" max="521" width="2" style="36" customWidth="1"/>
    <col min="522" max="524" width="1.75" style="36" customWidth="1"/>
    <col min="525" max="525" width="3.125" style="36" customWidth="1"/>
    <col min="526" max="526" width="3.25" style="36" customWidth="1"/>
    <col min="527" max="527" width="2" style="36" customWidth="1"/>
    <col min="528" max="528" width="4.5" style="36" customWidth="1"/>
    <col min="529" max="529" width="6.125" style="36" customWidth="1"/>
    <col min="530" max="530" width="11.125" style="36" customWidth="1"/>
    <col min="531" max="531" width="3.875" style="36" customWidth="1"/>
    <col min="532" max="532" width="6.25" style="36" customWidth="1"/>
    <col min="533" max="533" width="3.875" style="36" customWidth="1"/>
    <col min="534" max="534" width="5.25" style="36" bestFit="1" customWidth="1"/>
    <col min="535" max="535" width="25.25" style="36" customWidth="1"/>
    <col min="536" max="536" width="12.625" style="36" customWidth="1"/>
    <col min="537" max="537" width="0" style="36" hidden="1" customWidth="1"/>
    <col min="538" max="770" width="9" style="36"/>
    <col min="771" max="771" width="8.375" style="36" customWidth="1"/>
    <col min="772" max="772" width="9" style="36" customWidth="1"/>
    <col min="773" max="773" width="10.75" style="36" customWidth="1"/>
    <col min="774" max="774" width="11" style="36" customWidth="1"/>
    <col min="775" max="775" width="10.5" style="36" customWidth="1"/>
    <col min="776" max="776" width="11.25" style="36" bestFit="1" customWidth="1"/>
    <col min="777" max="777" width="2" style="36" customWidth="1"/>
    <col min="778" max="780" width="1.75" style="36" customWidth="1"/>
    <col min="781" max="781" width="3.125" style="36" customWidth="1"/>
    <col min="782" max="782" width="3.25" style="36" customWidth="1"/>
    <col min="783" max="783" width="2" style="36" customWidth="1"/>
    <col min="784" max="784" width="4.5" style="36" customWidth="1"/>
    <col min="785" max="785" width="6.125" style="36" customWidth="1"/>
    <col min="786" max="786" width="11.125" style="36" customWidth="1"/>
    <col min="787" max="787" width="3.875" style="36" customWidth="1"/>
    <col min="788" max="788" width="6.25" style="36" customWidth="1"/>
    <col min="789" max="789" width="3.875" style="36" customWidth="1"/>
    <col min="790" max="790" width="5.25" style="36" bestFit="1" customWidth="1"/>
    <col min="791" max="791" width="25.25" style="36" customWidth="1"/>
    <col min="792" max="792" width="12.625" style="36" customWidth="1"/>
    <col min="793" max="793" width="0" style="36" hidden="1" customWidth="1"/>
    <col min="794" max="1026" width="9" style="36"/>
    <col min="1027" max="1027" width="8.375" style="36" customWidth="1"/>
    <col min="1028" max="1028" width="9" style="36" customWidth="1"/>
    <col min="1029" max="1029" width="10.75" style="36" customWidth="1"/>
    <col min="1030" max="1030" width="11" style="36" customWidth="1"/>
    <col min="1031" max="1031" width="10.5" style="36" customWidth="1"/>
    <col min="1032" max="1032" width="11.25" style="36" bestFit="1" customWidth="1"/>
    <col min="1033" max="1033" width="2" style="36" customWidth="1"/>
    <col min="1034" max="1036" width="1.75" style="36" customWidth="1"/>
    <col min="1037" max="1037" width="3.125" style="36" customWidth="1"/>
    <col min="1038" max="1038" width="3.25" style="36" customWidth="1"/>
    <col min="1039" max="1039" width="2" style="36" customWidth="1"/>
    <col min="1040" max="1040" width="4.5" style="36" customWidth="1"/>
    <col min="1041" max="1041" width="6.125" style="36" customWidth="1"/>
    <col min="1042" max="1042" width="11.125" style="36" customWidth="1"/>
    <col min="1043" max="1043" width="3.875" style="36" customWidth="1"/>
    <col min="1044" max="1044" width="6.25" style="36" customWidth="1"/>
    <col min="1045" max="1045" width="3.875" style="36" customWidth="1"/>
    <col min="1046" max="1046" width="5.25" style="36" bestFit="1" customWidth="1"/>
    <col min="1047" max="1047" width="25.25" style="36" customWidth="1"/>
    <col min="1048" max="1048" width="12.625" style="36" customWidth="1"/>
    <col min="1049" max="1049" width="0" style="36" hidden="1" customWidth="1"/>
    <col min="1050" max="1282" width="9" style="36"/>
    <col min="1283" max="1283" width="8.375" style="36" customWidth="1"/>
    <col min="1284" max="1284" width="9" style="36" customWidth="1"/>
    <col min="1285" max="1285" width="10.75" style="36" customWidth="1"/>
    <col min="1286" max="1286" width="11" style="36" customWidth="1"/>
    <col min="1287" max="1287" width="10.5" style="36" customWidth="1"/>
    <col min="1288" max="1288" width="11.25" style="36" bestFit="1" customWidth="1"/>
    <col min="1289" max="1289" width="2" style="36" customWidth="1"/>
    <col min="1290" max="1292" width="1.75" style="36" customWidth="1"/>
    <col min="1293" max="1293" width="3.125" style="36" customWidth="1"/>
    <col min="1294" max="1294" width="3.25" style="36" customWidth="1"/>
    <col min="1295" max="1295" width="2" style="36" customWidth="1"/>
    <col min="1296" max="1296" width="4.5" style="36" customWidth="1"/>
    <col min="1297" max="1297" width="6.125" style="36" customWidth="1"/>
    <col min="1298" max="1298" width="11.125" style="36" customWidth="1"/>
    <col min="1299" max="1299" width="3.875" style="36" customWidth="1"/>
    <col min="1300" max="1300" width="6.25" style="36" customWidth="1"/>
    <col min="1301" max="1301" width="3.875" style="36" customWidth="1"/>
    <col min="1302" max="1302" width="5.25" style="36" bestFit="1" customWidth="1"/>
    <col min="1303" max="1303" width="25.25" style="36" customWidth="1"/>
    <col min="1304" max="1304" width="12.625" style="36" customWidth="1"/>
    <col min="1305" max="1305" width="0" style="36" hidden="1" customWidth="1"/>
    <col min="1306" max="1538" width="9" style="36"/>
    <col min="1539" max="1539" width="8.375" style="36" customWidth="1"/>
    <col min="1540" max="1540" width="9" style="36" customWidth="1"/>
    <col min="1541" max="1541" width="10.75" style="36" customWidth="1"/>
    <col min="1542" max="1542" width="11" style="36" customWidth="1"/>
    <col min="1543" max="1543" width="10.5" style="36" customWidth="1"/>
    <col min="1544" max="1544" width="11.25" style="36" bestFit="1" customWidth="1"/>
    <col min="1545" max="1545" width="2" style="36" customWidth="1"/>
    <col min="1546" max="1548" width="1.75" style="36" customWidth="1"/>
    <col min="1549" max="1549" width="3.125" style="36" customWidth="1"/>
    <col min="1550" max="1550" width="3.25" style="36" customWidth="1"/>
    <col min="1551" max="1551" width="2" style="36" customWidth="1"/>
    <col min="1552" max="1552" width="4.5" style="36" customWidth="1"/>
    <col min="1553" max="1553" width="6.125" style="36" customWidth="1"/>
    <col min="1554" max="1554" width="11.125" style="36" customWidth="1"/>
    <col min="1555" max="1555" width="3.875" style="36" customWidth="1"/>
    <col min="1556" max="1556" width="6.25" style="36" customWidth="1"/>
    <col min="1557" max="1557" width="3.875" style="36" customWidth="1"/>
    <col min="1558" max="1558" width="5.25" style="36" bestFit="1" customWidth="1"/>
    <col min="1559" max="1559" width="25.25" style="36" customWidth="1"/>
    <col min="1560" max="1560" width="12.625" style="36" customWidth="1"/>
    <col min="1561" max="1561" width="0" style="36" hidden="1" customWidth="1"/>
    <col min="1562" max="1794" width="9" style="36"/>
    <col min="1795" max="1795" width="8.375" style="36" customWidth="1"/>
    <col min="1796" max="1796" width="9" style="36" customWidth="1"/>
    <col min="1797" max="1797" width="10.75" style="36" customWidth="1"/>
    <col min="1798" max="1798" width="11" style="36" customWidth="1"/>
    <col min="1799" max="1799" width="10.5" style="36" customWidth="1"/>
    <col min="1800" max="1800" width="11.25" style="36" bestFit="1" customWidth="1"/>
    <col min="1801" max="1801" width="2" style="36" customWidth="1"/>
    <col min="1802" max="1804" width="1.75" style="36" customWidth="1"/>
    <col min="1805" max="1805" width="3.125" style="36" customWidth="1"/>
    <col min="1806" max="1806" width="3.25" style="36" customWidth="1"/>
    <col min="1807" max="1807" width="2" style="36" customWidth="1"/>
    <col min="1808" max="1808" width="4.5" style="36" customWidth="1"/>
    <col min="1809" max="1809" width="6.125" style="36" customWidth="1"/>
    <col min="1810" max="1810" width="11.125" style="36" customWidth="1"/>
    <col min="1811" max="1811" width="3.875" style="36" customWidth="1"/>
    <col min="1812" max="1812" width="6.25" style="36" customWidth="1"/>
    <col min="1813" max="1813" width="3.875" style="36" customWidth="1"/>
    <col min="1814" max="1814" width="5.25" style="36" bestFit="1" customWidth="1"/>
    <col min="1815" max="1815" width="25.25" style="36" customWidth="1"/>
    <col min="1816" max="1816" width="12.625" style="36" customWidth="1"/>
    <col min="1817" max="1817" width="0" style="36" hidden="1" customWidth="1"/>
    <col min="1818" max="2050" width="9" style="36"/>
    <col min="2051" max="2051" width="8.375" style="36" customWidth="1"/>
    <col min="2052" max="2052" width="9" style="36" customWidth="1"/>
    <col min="2053" max="2053" width="10.75" style="36" customWidth="1"/>
    <col min="2054" max="2054" width="11" style="36" customWidth="1"/>
    <col min="2055" max="2055" width="10.5" style="36" customWidth="1"/>
    <col min="2056" max="2056" width="11.25" style="36" bestFit="1" customWidth="1"/>
    <col min="2057" max="2057" width="2" style="36" customWidth="1"/>
    <col min="2058" max="2060" width="1.75" style="36" customWidth="1"/>
    <col min="2061" max="2061" width="3.125" style="36" customWidth="1"/>
    <col min="2062" max="2062" width="3.25" style="36" customWidth="1"/>
    <col min="2063" max="2063" width="2" style="36" customWidth="1"/>
    <col min="2064" max="2064" width="4.5" style="36" customWidth="1"/>
    <col min="2065" max="2065" width="6.125" style="36" customWidth="1"/>
    <col min="2066" max="2066" width="11.125" style="36" customWidth="1"/>
    <col min="2067" max="2067" width="3.875" style="36" customWidth="1"/>
    <col min="2068" max="2068" width="6.25" style="36" customWidth="1"/>
    <col min="2069" max="2069" width="3.875" style="36" customWidth="1"/>
    <col min="2070" max="2070" width="5.25" style="36" bestFit="1" customWidth="1"/>
    <col min="2071" max="2071" width="25.25" style="36" customWidth="1"/>
    <col min="2072" max="2072" width="12.625" style="36" customWidth="1"/>
    <col min="2073" max="2073" width="0" style="36" hidden="1" customWidth="1"/>
    <col min="2074" max="2306" width="9" style="36"/>
    <col min="2307" max="2307" width="8.375" style="36" customWidth="1"/>
    <col min="2308" max="2308" width="9" style="36" customWidth="1"/>
    <col min="2309" max="2309" width="10.75" style="36" customWidth="1"/>
    <col min="2310" max="2310" width="11" style="36" customWidth="1"/>
    <col min="2311" max="2311" width="10.5" style="36" customWidth="1"/>
    <col min="2312" max="2312" width="11.25" style="36" bestFit="1" customWidth="1"/>
    <col min="2313" max="2313" width="2" style="36" customWidth="1"/>
    <col min="2314" max="2316" width="1.75" style="36" customWidth="1"/>
    <col min="2317" max="2317" width="3.125" style="36" customWidth="1"/>
    <col min="2318" max="2318" width="3.25" style="36" customWidth="1"/>
    <col min="2319" max="2319" width="2" style="36" customWidth="1"/>
    <col min="2320" max="2320" width="4.5" style="36" customWidth="1"/>
    <col min="2321" max="2321" width="6.125" style="36" customWidth="1"/>
    <col min="2322" max="2322" width="11.125" style="36" customWidth="1"/>
    <col min="2323" max="2323" width="3.875" style="36" customWidth="1"/>
    <col min="2324" max="2324" width="6.25" style="36" customWidth="1"/>
    <col min="2325" max="2325" width="3.875" style="36" customWidth="1"/>
    <col min="2326" max="2326" width="5.25" style="36" bestFit="1" customWidth="1"/>
    <col min="2327" max="2327" width="25.25" style="36" customWidth="1"/>
    <col min="2328" max="2328" width="12.625" style="36" customWidth="1"/>
    <col min="2329" max="2329" width="0" style="36" hidden="1" customWidth="1"/>
    <col min="2330" max="2562" width="9" style="36"/>
    <col min="2563" max="2563" width="8.375" style="36" customWidth="1"/>
    <col min="2564" max="2564" width="9" style="36" customWidth="1"/>
    <col min="2565" max="2565" width="10.75" style="36" customWidth="1"/>
    <col min="2566" max="2566" width="11" style="36" customWidth="1"/>
    <col min="2567" max="2567" width="10.5" style="36" customWidth="1"/>
    <col min="2568" max="2568" width="11.25" style="36" bestFit="1" customWidth="1"/>
    <col min="2569" max="2569" width="2" style="36" customWidth="1"/>
    <col min="2570" max="2572" width="1.75" style="36" customWidth="1"/>
    <col min="2573" max="2573" width="3.125" style="36" customWidth="1"/>
    <col min="2574" max="2574" width="3.25" style="36" customWidth="1"/>
    <col min="2575" max="2575" width="2" style="36" customWidth="1"/>
    <col min="2576" max="2576" width="4.5" style="36" customWidth="1"/>
    <col min="2577" max="2577" width="6.125" style="36" customWidth="1"/>
    <col min="2578" max="2578" width="11.125" style="36" customWidth="1"/>
    <col min="2579" max="2579" width="3.875" style="36" customWidth="1"/>
    <col min="2580" max="2580" width="6.25" style="36" customWidth="1"/>
    <col min="2581" max="2581" width="3.875" style="36" customWidth="1"/>
    <col min="2582" max="2582" width="5.25" style="36" bestFit="1" customWidth="1"/>
    <col min="2583" max="2583" width="25.25" style="36" customWidth="1"/>
    <col min="2584" max="2584" width="12.625" style="36" customWidth="1"/>
    <col min="2585" max="2585" width="0" style="36" hidden="1" customWidth="1"/>
    <col min="2586" max="2818" width="9" style="36"/>
    <col min="2819" max="2819" width="8.375" style="36" customWidth="1"/>
    <col min="2820" max="2820" width="9" style="36" customWidth="1"/>
    <col min="2821" max="2821" width="10.75" style="36" customWidth="1"/>
    <col min="2822" max="2822" width="11" style="36" customWidth="1"/>
    <col min="2823" max="2823" width="10.5" style="36" customWidth="1"/>
    <col min="2824" max="2824" width="11.25" style="36" bestFit="1" customWidth="1"/>
    <col min="2825" max="2825" width="2" style="36" customWidth="1"/>
    <col min="2826" max="2828" width="1.75" style="36" customWidth="1"/>
    <col min="2829" max="2829" width="3.125" style="36" customWidth="1"/>
    <col min="2830" max="2830" width="3.25" style="36" customWidth="1"/>
    <col min="2831" max="2831" width="2" style="36" customWidth="1"/>
    <col min="2832" max="2832" width="4.5" style="36" customWidth="1"/>
    <col min="2833" max="2833" width="6.125" style="36" customWidth="1"/>
    <col min="2834" max="2834" width="11.125" style="36" customWidth="1"/>
    <col min="2835" max="2835" width="3.875" style="36" customWidth="1"/>
    <col min="2836" max="2836" width="6.25" style="36" customWidth="1"/>
    <col min="2837" max="2837" width="3.875" style="36" customWidth="1"/>
    <col min="2838" max="2838" width="5.25" style="36" bestFit="1" customWidth="1"/>
    <col min="2839" max="2839" width="25.25" style="36" customWidth="1"/>
    <col min="2840" max="2840" width="12.625" style="36" customWidth="1"/>
    <col min="2841" max="2841" width="0" style="36" hidden="1" customWidth="1"/>
    <col min="2842" max="3074" width="9" style="36"/>
    <col min="3075" max="3075" width="8.375" style="36" customWidth="1"/>
    <col min="3076" max="3076" width="9" style="36" customWidth="1"/>
    <col min="3077" max="3077" width="10.75" style="36" customWidth="1"/>
    <col min="3078" max="3078" width="11" style="36" customWidth="1"/>
    <col min="3079" max="3079" width="10.5" style="36" customWidth="1"/>
    <col min="3080" max="3080" width="11.25" style="36" bestFit="1" customWidth="1"/>
    <col min="3081" max="3081" width="2" style="36" customWidth="1"/>
    <col min="3082" max="3084" width="1.75" style="36" customWidth="1"/>
    <col min="3085" max="3085" width="3.125" style="36" customWidth="1"/>
    <col min="3086" max="3086" width="3.25" style="36" customWidth="1"/>
    <col min="3087" max="3087" width="2" style="36" customWidth="1"/>
    <col min="3088" max="3088" width="4.5" style="36" customWidth="1"/>
    <col min="3089" max="3089" width="6.125" style="36" customWidth="1"/>
    <col min="3090" max="3090" width="11.125" style="36" customWidth="1"/>
    <col min="3091" max="3091" width="3.875" style="36" customWidth="1"/>
    <col min="3092" max="3092" width="6.25" style="36" customWidth="1"/>
    <col min="3093" max="3093" width="3.875" style="36" customWidth="1"/>
    <col min="3094" max="3094" width="5.25" style="36" bestFit="1" customWidth="1"/>
    <col min="3095" max="3095" width="25.25" style="36" customWidth="1"/>
    <col min="3096" max="3096" width="12.625" style="36" customWidth="1"/>
    <col min="3097" max="3097" width="0" style="36" hidden="1" customWidth="1"/>
    <col min="3098" max="3330" width="9" style="36"/>
    <col min="3331" max="3331" width="8.375" style="36" customWidth="1"/>
    <col min="3332" max="3332" width="9" style="36" customWidth="1"/>
    <col min="3333" max="3333" width="10.75" style="36" customWidth="1"/>
    <col min="3334" max="3334" width="11" style="36" customWidth="1"/>
    <col min="3335" max="3335" width="10.5" style="36" customWidth="1"/>
    <col min="3336" max="3336" width="11.25" style="36" bestFit="1" customWidth="1"/>
    <col min="3337" max="3337" width="2" style="36" customWidth="1"/>
    <col min="3338" max="3340" width="1.75" style="36" customWidth="1"/>
    <col min="3341" max="3341" width="3.125" style="36" customWidth="1"/>
    <col min="3342" max="3342" width="3.25" style="36" customWidth="1"/>
    <col min="3343" max="3343" width="2" style="36" customWidth="1"/>
    <col min="3344" max="3344" width="4.5" style="36" customWidth="1"/>
    <col min="3345" max="3345" width="6.125" style="36" customWidth="1"/>
    <col min="3346" max="3346" width="11.125" style="36" customWidth="1"/>
    <col min="3347" max="3347" width="3.875" style="36" customWidth="1"/>
    <col min="3348" max="3348" width="6.25" style="36" customWidth="1"/>
    <col min="3349" max="3349" width="3.875" style="36" customWidth="1"/>
    <col min="3350" max="3350" width="5.25" style="36" bestFit="1" customWidth="1"/>
    <col min="3351" max="3351" width="25.25" style="36" customWidth="1"/>
    <col min="3352" max="3352" width="12.625" style="36" customWidth="1"/>
    <col min="3353" max="3353" width="0" style="36" hidden="1" customWidth="1"/>
    <col min="3354" max="3586" width="9" style="36"/>
    <col min="3587" max="3587" width="8.375" style="36" customWidth="1"/>
    <col min="3588" max="3588" width="9" style="36" customWidth="1"/>
    <col min="3589" max="3589" width="10.75" style="36" customWidth="1"/>
    <col min="3590" max="3590" width="11" style="36" customWidth="1"/>
    <col min="3591" max="3591" width="10.5" style="36" customWidth="1"/>
    <col min="3592" max="3592" width="11.25" style="36" bestFit="1" customWidth="1"/>
    <col min="3593" max="3593" width="2" style="36" customWidth="1"/>
    <col min="3594" max="3596" width="1.75" style="36" customWidth="1"/>
    <col min="3597" max="3597" width="3.125" style="36" customWidth="1"/>
    <col min="3598" max="3598" width="3.25" style="36" customWidth="1"/>
    <col min="3599" max="3599" width="2" style="36" customWidth="1"/>
    <col min="3600" max="3600" width="4.5" style="36" customWidth="1"/>
    <col min="3601" max="3601" width="6.125" style="36" customWidth="1"/>
    <col min="3602" max="3602" width="11.125" style="36" customWidth="1"/>
    <col min="3603" max="3603" width="3.875" style="36" customWidth="1"/>
    <col min="3604" max="3604" width="6.25" style="36" customWidth="1"/>
    <col min="3605" max="3605" width="3.875" style="36" customWidth="1"/>
    <col min="3606" max="3606" width="5.25" style="36" bestFit="1" customWidth="1"/>
    <col min="3607" max="3607" width="25.25" style="36" customWidth="1"/>
    <col min="3608" max="3608" width="12.625" style="36" customWidth="1"/>
    <col min="3609" max="3609" width="0" style="36" hidden="1" customWidth="1"/>
    <col min="3610" max="3842" width="9" style="36"/>
    <col min="3843" max="3843" width="8.375" style="36" customWidth="1"/>
    <col min="3844" max="3844" width="9" style="36" customWidth="1"/>
    <col min="3845" max="3845" width="10.75" style="36" customWidth="1"/>
    <col min="3846" max="3846" width="11" style="36" customWidth="1"/>
    <col min="3847" max="3847" width="10.5" style="36" customWidth="1"/>
    <col min="3848" max="3848" width="11.25" style="36" bestFit="1" customWidth="1"/>
    <col min="3849" max="3849" width="2" style="36" customWidth="1"/>
    <col min="3850" max="3852" width="1.75" style="36" customWidth="1"/>
    <col min="3853" max="3853" width="3.125" style="36" customWidth="1"/>
    <col min="3854" max="3854" width="3.25" style="36" customWidth="1"/>
    <col min="3855" max="3855" width="2" style="36" customWidth="1"/>
    <col min="3856" max="3856" width="4.5" style="36" customWidth="1"/>
    <col min="3857" max="3857" width="6.125" style="36" customWidth="1"/>
    <col min="3858" max="3858" width="11.125" style="36" customWidth="1"/>
    <col min="3859" max="3859" width="3.875" style="36" customWidth="1"/>
    <col min="3860" max="3860" width="6.25" style="36" customWidth="1"/>
    <col min="3861" max="3861" width="3.875" style="36" customWidth="1"/>
    <col min="3862" max="3862" width="5.25" style="36" bestFit="1" customWidth="1"/>
    <col min="3863" max="3863" width="25.25" style="36" customWidth="1"/>
    <col min="3864" max="3864" width="12.625" style="36" customWidth="1"/>
    <col min="3865" max="3865" width="0" style="36" hidden="1" customWidth="1"/>
    <col min="3866" max="4098" width="9" style="36"/>
    <col min="4099" max="4099" width="8.375" style="36" customWidth="1"/>
    <col min="4100" max="4100" width="9" style="36" customWidth="1"/>
    <col min="4101" max="4101" width="10.75" style="36" customWidth="1"/>
    <col min="4102" max="4102" width="11" style="36" customWidth="1"/>
    <col min="4103" max="4103" width="10.5" style="36" customWidth="1"/>
    <col min="4104" max="4104" width="11.25" style="36" bestFit="1" customWidth="1"/>
    <col min="4105" max="4105" width="2" style="36" customWidth="1"/>
    <col min="4106" max="4108" width="1.75" style="36" customWidth="1"/>
    <col min="4109" max="4109" width="3.125" style="36" customWidth="1"/>
    <col min="4110" max="4110" width="3.25" style="36" customWidth="1"/>
    <col min="4111" max="4111" width="2" style="36" customWidth="1"/>
    <col min="4112" max="4112" width="4.5" style="36" customWidth="1"/>
    <col min="4113" max="4113" width="6.125" style="36" customWidth="1"/>
    <col min="4114" max="4114" width="11.125" style="36" customWidth="1"/>
    <col min="4115" max="4115" width="3.875" style="36" customWidth="1"/>
    <col min="4116" max="4116" width="6.25" style="36" customWidth="1"/>
    <col min="4117" max="4117" width="3.875" style="36" customWidth="1"/>
    <col min="4118" max="4118" width="5.25" style="36" bestFit="1" customWidth="1"/>
    <col min="4119" max="4119" width="25.25" style="36" customWidth="1"/>
    <col min="4120" max="4120" width="12.625" style="36" customWidth="1"/>
    <col min="4121" max="4121" width="0" style="36" hidden="1" customWidth="1"/>
    <col min="4122" max="4354" width="9" style="36"/>
    <col min="4355" max="4355" width="8.375" style="36" customWidth="1"/>
    <col min="4356" max="4356" width="9" style="36" customWidth="1"/>
    <col min="4357" max="4357" width="10.75" style="36" customWidth="1"/>
    <col min="4358" max="4358" width="11" style="36" customWidth="1"/>
    <col min="4359" max="4359" width="10.5" style="36" customWidth="1"/>
    <col min="4360" max="4360" width="11.25" style="36" bestFit="1" customWidth="1"/>
    <col min="4361" max="4361" width="2" style="36" customWidth="1"/>
    <col min="4362" max="4364" width="1.75" style="36" customWidth="1"/>
    <col min="4365" max="4365" width="3.125" style="36" customWidth="1"/>
    <col min="4366" max="4366" width="3.25" style="36" customWidth="1"/>
    <col min="4367" max="4367" width="2" style="36" customWidth="1"/>
    <col min="4368" max="4368" width="4.5" style="36" customWidth="1"/>
    <col min="4369" max="4369" width="6.125" style="36" customWidth="1"/>
    <col min="4370" max="4370" width="11.125" style="36" customWidth="1"/>
    <col min="4371" max="4371" width="3.875" style="36" customWidth="1"/>
    <col min="4372" max="4372" width="6.25" style="36" customWidth="1"/>
    <col min="4373" max="4373" width="3.875" style="36" customWidth="1"/>
    <col min="4374" max="4374" width="5.25" style="36" bestFit="1" customWidth="1"/>
    <col min="4375" max="4375" width="25.25" style="36" customWidth="1"/>
    <col min="4376" max="4376" width="12.625" style="36" customWidth="1"/>
    <col min="4377" max="4377" width="0" style="36" hidden="1" customWidth="1"/>
    <col min="4378" max="4610" width="9" style="36"/>
    <col min="4611" max="4611" width="8.375" style="36" customWidth="1"/>
    <col min="4612" max="4612" width="9" style="36" customWidth="1"/>
    <col min="4613" max="4613" width="10.75" style="36" customWidth="1"/>
    <col min="4614" max="4614" width="11" style="36" customWidth="1"/>
    <col min="4615" max="4615" width="10.5" style="36" customWidth="1"/>
    <col min="4616" max="4616" width="11.25" style="36" bestFit="1" customWidth="1"/>
    <col min="4617" max="4617" width="2" style="36" customWidth="1"/>
    <col min="4618" max="4620" width="1.75" style="36" customWidth="1"/>
    <col min="4621" max="4621" width="3.125" style="36" customWidth="1"/>
    <col min="4622" max="4622" width="3.25" style="36" customWidth="1"/>
    <col min="4623" max="4623" width="2" style="36" customWidth="1"/>
    <col min="4624" max="4624" width="4.5" style="36" customWidth="1"/>
    <col min="4625" max="4625" width="6.125" style="36" customWidth="1"/>
    <col min="4626" max="4626" width="11.125" style="36" customWidth="1"/>
    <col min="4627" max="4627" width="3.875" style="36" customWidth="1"/>
    <col min="4628" max="4628" width="6.25" style="36" customWidth="1"/>
    <col min="4629" max="4629" width="3.875" style="36" customWidth="1"/>
    <col min="4630" max="4630" width="5.25" style="36" bestFit="1" customWidth="1"/>
    <col min="4631" max="4631" width="25.25" style="36" customWidth="1"/>
    <col min="4632" max="4632" width="12.625" style="36" customWidth="1"/>
    <col min="4633" max="4633" width="0" style="36" hidden="1" customWidth="1"/>
    <col min="4634" max="4866" width="9" style="36"/>
    <col min="4867" max="4867" width="8.375" style="36" customWidth="1"/>
    <col min="4868" max="4868" width="9" style="36" customWidth="1"/>
    <col min="4869" max="4869" width="10.75" style="36" customWidth="1"/>
    <col min="4870" max="4870" width="11" style="36" customWidth="1"/>
    <col min="4871" max="4871" width="10.5" style="36" customWidth="1"/>
    <col min="4872" max="4872" width="11.25" style="36" bestFit="1" customWidth="1"/>
    <col min="4873" max="4873" width="2" style="36" customWidth="1"/>
    <col min="4874" max="4876" width="1.75" style="36" customWidth="1"/>
    <col min="4877" max="4877" width="3.125" style="36" customWidth="1"/>
    <col min="4878" max="4878" width="3.25" style="36" customWidth="1"/>
    <col min="4879" max="4879" width="2" style="36" customWidth="1"/>
    <col min="4880" max="4880" width="4.5" style="36" customWidth="1"/>
    <col min="4881" max="4881" width="6.125" style="36" customWidth="1"/>
    <col min="4882" max="4882" width="11.125" style="36" customWidth="1"/>
    <col min="4883" max="4883" width="3.875" style="36" customWidth="1"/>
    <col min="4884" max="4884" width="6.25" style="36" customWidth="1"/>
    <col min="4885" max="4885" width="3.875" style="36" customWidth="1"/>
    <col min="4886" max="4886" width="5.25" style="36" bestFit="1" customWidth="1"/>
    <col min="4887" max="4887" width="25.25" style="36" customWidth="1"/>
    <col min="4888" max="4888" width="12.625" style="36" customWidth="1"/>
    <col min="4889" max="4889" width="0" style="36" hidden="1" customWidth="1"/>
    <col min="4890" max="5122" width="9" style="36"/>
    <col min="5123" max="5123" width="8.375" style="36" customWidth="1"/>
    <col min="5124" max="5124" width="9" style="36" customWidth="1"/>
    <col min="5125" max="5125" width="10.75" style="36" customWidth="1"/>
    <col min="5126" max="5126" width="11" style="36" customWidth="1"/>
    <col min="5127" max="5127" width="10.5" style="36" customWidth="1"/>
    <col min="5128" max="5128" width="11.25" style="36" bestFit="1" customWidth="1"/>
    <col min="5129" max="5129" width="2" style="36" customWidth="1"/>
    <col min="5130" max="5132" width="1.75" style="36" customWidth="1"/>
    <col min="5133" max="5133" width="3.125" style="36" customWidth="1"/>
    <col min="5134" max="5134" width="3.25" style="36" customWidth="1"/>
    <col min="5135" max="5135" width="2" style="36" customWidth="1"/>
    <col min="5136" max="5136" width="4.5" style="36" customWidth="1"/>
    <col min="5137" max="5137" width="6.125" style="36" customWidth="1"/>
    <col min="5138" max="5138" width="11.125" style="36" customWidth="1"/>
    <col min="5139" max="5139" width="3.875" style="36" customWidth="1"/>
    <col min="5140" max="5140" width="6.25" style="36" customWidth="1"/>
    <col min="5141" max="5141" width="3.875" style="36" customWidth="1"/>
    <col min="5142" max="5142" width="5.25" style="36" bestFit="1" customWidth="1"/>
    <col min="5143" max="5143" width="25.25" style="36" customWidth="1"/>
    <col min="5144" max="5144" width="12.625" style="36" customWidth="1"/>
    <col min="5145" max="5145" width="0" style="36" hidden="1" customWidth="1"/>
    <col min="5146" max="5378" width="9" style="36"/>
    <col min="5379" max="5379" width="8.375" style="36" customWidth="1"/>
    <col min="5380" max="5380" width="9" style="36" customWidth="1"/>
    <col min="5381" max="5381" width="10.75" style="36" customWidth="1"/>
    <col min="5382" max="5382" width="11" style="36" customWidth="1"/>
    <col min="5383" max="5383" width="10.5" style="36" customWidth="1"/>
    <col min="5384" max="5384" width="11.25" style="36" bestFit="1" customWidth="1"/>
    <col min="5385" max="5385" width="2" style="36" customWidth="1"/>
    <col min="5386" max="5388" width="1.75" style="36" customWidth="1"/>
    <col min="5389" max="5389" width="3.125" style="36" customWidth="1"/>
    <col min="5390" max="5390" width="3.25" style="36" customWidth="1"/>
    <col min="5391" max="5391" width="2" style="36" customWidth="1"/>
    <col min="5392" max="5392" width="4.5" style="36" customWidth="1"/>
    <col min="5393" max="5393" width="6.125" style="36" customWidth="1"/>
    <col min="5394" max="5394" width="11.125" style="36" customWidth="1"/>
    <col min="5395" max="5395" width="3.875" style="36" customWidth="1"/>
    <col min="5396" max="5396" width="6.25" style="36" customWidth="1"/>
    <col min="5397" max="5397" width="3.875" style="36" customWidth="1"/>
    <col min="5398" max="5398" width="5.25" style="36" bestFit="1" customWidth="1"/>
    <col min="5399" max="5399" width="25.25" style="36" customWidth="1"/>
    <col min="5400" max="5400" width="12.625" style="36" customWidth="1"/>
    <col min="5401" max="5401" width="0" style="36" hidden="1" customWidth="1"/>
    <col min="5402" max="5634" width="9" style="36"/>
    <col min="5635" max="5635" width="8.375" style="36" customWidth="1"/>
    <col min="5636" max="5636" width="9" style="36" customWidth="1"/>
    <col min="5637" max="5637" width="10.75" style="36" customWidth="1"/>
    <col min="5638" max="5638" width="11" style="36" customWidth="1"/>
    <col min="5639" max="5639" width="10.5" style="36" customWidth="1"/>
    <col min="5640" max="5640" width="11.25" style="36" bestFit="1" customWidth="1"/>
    <col min="5641" max="5641" width="2" style="36" customWidth="1"/>
    <col min="5642" max="5644" width="1.75" style="36" customWidth="1"/>
    <col min="5645" max="5645" width="3.125" style="36" customWidth="1"/>
    <col min="5646" max="5646" width="3.25" style="36" customWidth="1"/>
    <col min="5647" max="5647" width="2" style="36" customWidth="1"/>
    <col min="5648" max="5648" width="4.5" style="36" customWidth="1"/>
    <col min="5649" max="5649" width="6.125" style="36" customWidth="1"/>
    <col min="5650" max="5650" width="11.125" style="36" customWidth="1"/>
    <col min="5651" max="5651" width="3.875" style="36" customWidth="1"/>
    <col min="5652" max="5652" width="6.25" style="36" customWidth="1"/>
    <col min="5653" max="5653" width="3.875" style="36" customWidth="1"/>
    <col min="5654" max="5654" width="5.25" style="36" bestFit="1" customWidth="1"/>
    <col min="5655" max="5655" width="25.25" style="36" customWidth="1"/>
    <col min="5656" max="5656" width="12.625" style="36" customWidth="1"/>
    <col min="5657" max="5657" width="0" style="36" hidden="1" customWidth="1"/>
    <col min="5658" max="5890" width="9" style="36"/>
    <col min="5891" max="5891" width="8.375" style="36" customWidth="1"/>
    <col min="5892" max="5892" width="9" style="36" customWidth="1"/>
    <col min="5893" max="5893" width="10.75" style="36" customWidth="1"/>
    <col min="5894" max="5894" width="11" style="36" customWidth="1"/>
    <col min="5895" max="5895" width="10.5" style="36" customWidth="1"/>
    <col min="5896" max="5896" width="11.25" style="36" bestFit="1" customWidth="1"/>
    <col min="5897" max="5897" width="2" style="36" customWidth="1"/>
    <col min="5898" max="5900" width="1.75" style="36" customWidth="1"/>
    <col min="5901" max="5901" width="3.125" style="36" customWidth="1"/>
    <col min="5902" max="5902" width="3.25" style="36" customWidth="1"/>
    <col min="5903" max="5903" width="2" style="36" customWidth="1"/>
    <col min="5904" max="5904" width="4.5" style="36" customWidth="1"/>
    <col min="5905" max="5905" width="6.125" style="36" customWidth="1"/>
    <col min="5906" max="5906" width="11.125" style="36" customWidth="1"/>
    <col min="5907" max="5907" width="3.875" style="36" customWidth="1"/>
    <col min="5908" max="5908" width="6.25" style="36" customWidth="1"/>
    <col min="5909" max="5909" width="3.875" style="36" customWidth="1"/>
    <col min="5910" max="5910" width="5.25" style="36" bestFit="1" customWidth="1"/>
    <col min="5911" max="5911" width="25.25" style="36" customWidth="1"/>
    <col min="5912" max="5912" width="12.625" style="36" customWidth="1"/>
    <col min="5913" max="5913" width="0" style="36" hidden="1" customWidth="1"/>
    <col min="5914" max="6146" width="9" style="36"/>
    <col min="6147" max="6147" width="8.375" style="36" customWidth="1"/>
    <col min="6148" max="6148" width="9" style="36" customWidth="1"/>
    <col min="6149" max="6149" width="10.75" style="36" customWidth="1"/>
    <col min="6150" max="6150" width="11" style="36" customWidth="1"/>
    <col min="6151" max="6151" width="10.5" style="36" customWidth="1"/>
    <col min="6152" max="6152" width="11.25" style="36" bestFit="1" customWidth="1"/>
    <col min="6153" max="6153" width="2" style="36" customWidth="1"/>
    <col min="6154" max="6156" width="1.75" style="36" customWidth="1"/>
    <col min="6157" max="6157" width="3.125" style="36" customWidth="1"/>
    <col min="6158" max="6158" width="3.25" style="36" customWidth="1"/>
    <col min="6159" max="6159" width="2" style="36" customWidth="1"/>
    <col min="6160" max="6160" width="4.5" style="36" customWidth="1"/>
    <col min="6161" max="6161" width="6.125" style="36" customWidth="1"/>
    <col min="6162" max="6162" width="11.125" style="36" customWidth="1"/>
    <col min="6163" max="6163" width="3.875" style="36" customWidth="1"/>
    <col min="6164" max="6164" width="6.25" style="36" customWidth="1"/>
    <col min="6165" max="6165" width="3.875" style="36" customWidth="1"/>
    <col min="6166" max="6166" width="5.25" style="36" bestFit="1" customWidth="1"/>
    <col min="6167" max="6167" width="25.25" style="36" customWidth="1"/>
    <col min="6168" max="6168" width="12.625" style="36" customWidth="1"/>
    <col min="6169" max="6169" width="0" style="36" hidden="1" customWidth="1"/>
    <col min="6170" max="6402" width="9" style="36"/>
    <col min="6403" max="6403" width="8.375" style="36" customWidth="1"/>
    <col min="6404" max="6404" width="9" style="36" customWidth="1"/>
    <col min="6405" max="6405" width="10.75" style="36" customWidth="1"/>
    <col min="6406" max="6406" width="11" style="36" customWidth="1"/>
    <col min="6407" max="6407" width="10.5" style="36" customWidth="1"/>
    <col min="6408" max="6408" width="11.25" style="36" bestFit="1" customWidth="1"/>
    <col min="6409" max="6409" width="2" style="36" customWidth="1"/>
    <col min="6410" max="6412" width="1.75" style="36" customWidth="1"/>
    <col min="6413" max="6413" width="3.125" style="36" customWidth="1"/>
    <col min="6414" max="6414" width="3.25" style="36" customWidth="1"/>
    <col min="6415" max="6415" width="2" style="36" customWidth="1"/>
    <col min="6416" max="6416" width="4.5" style="36" customWidth="1"/>
    <col min="6417" max="6417" width="6.125" style="36" customWidth="1"/>
    <col min="6418" max="6418" width="11.125" style="36" customWidth="1"/>
    <col min="6419" max="6419" width="3.875" style="36" customWidth="1"/>
    <col min="6420" max="6420" width="6.25" style="36" customWidth="1"/>
    <col min="6421" max="6421" width="3.875" style="36" customWidth="1"/>
    <col min="6422" max="6422" width="5.25" style="36" bestFit="1" customWidth="1"/>
    <col min="6423" max="6423" width="25.25" style="36" customWidth="1"/>
    <col min="6424" max="6424" width="12.625" style="36" customWidth="1"/>
    <col min="6425" max="6425" width="0" style="36" hidden="1" customWidth="1"/>
    <col min="6426" max="6658" width="9" style="36"/>
    <col min="6659" max="6659" width="8.375" style="36" customWidth="1"/>
    <col min="6660" max="6660" width="9" style="36" customWidth="1"/>
    <col min="6661" max="6661" width="10.75" style="36" customWidth="1"/>
    <col min="6662" max="6662" width="11" style="36" customWidth="1"/>
    <col min="6663" max="6663" width="10.5" style="36" customWidth="1"/>
    <col min="6664" max="6664" width="11.25" style="36" bestFit="1" customWidth="1"/>
    <col min="6665" max="6665" width="2" style="36" customWidth="1"/>
    <col min="6666" max="6668" width="1.75" style="36" customWidth="1"/>
    <col min="6669" max="6669" width="3.125" style="36" customWidth="1"/>
    <col min="6670" max="6670" width="3.25" style="36" customWidth="1"/>
    <col min="6671" max="6671" width="2" style="36" customWidth="1"/>
    <col min="6672" max="6672" width="4.5" style="36" customWidth="1"/>
    <col min="6673" max="6673" width="6.125" style="36" customWidth="1"/>
    <col min="6674" max="6674" width="11.125" style="36" customWidth="1"/>
    <col min="6675" max="6675" width="3.875" style="36" customWidth="1"/>
    <col min="6676" max="6676" width="6.25" style="36" customWidth="1"/>
    <col min="6677" max="6677" width="3.875" style="36" customWidth="1"/>
    <col min="6678" max="6678" width="5.25" style="36" bestFit="1" customWidth="1"/>
    <col min="6679" max="6679" width="25.25" style="36" customWidth="1"/>
    <col min="6680" max="6680" width="12.625" style="36" customWidth="1"/>
    <col min="6681" max="6681" width="0" style="36" hidden="1" customWidth="1"/>
    <col min="6682" max="6914" width="9" style="36"/>
    <col min="6915" max="6915" width="8.375" style="36" customWidth="1"/>
    <col min="6916" max="6916" width="9" style="36" customWidth="1"/>
    <col min="6917" max="6917" width="10.75" style="36" customWidth="1"/>
    <col min="6918" max="6918" width="11" style="36" customWidth="1"/>
    <col min="6919" max="6919" width="10.5" style="36" customWidth="1"/>
    <col min="6920" max="6920" width="11.25" style="36" bestFit="1" customWidth="1"/>
    <col min="6921" max="6921" width="2" style="36" customWidth="1"/>
    <col min="6922" max="6924" width="1.75" style="36" customWidth="1"/>
    <col min="6925" max="6925" width="3.125" style="36" customWidth="1"/>
    <col min="6926" max="6926" width="3.25" style="36" customWidth="1"/>
    <col min="6927" max="6927" width="2" style="36" customWidth="1"/>
    <col min="6928" max="6928" width="4.5" style="36" customWidth="1"/>
    <col min="6929" max="6929" width="6.125" style="36" customWidth="1"/>
    <col min="6930" max="6930" width="11.125" style="36" customWidth="1"/>
    <col min="6931" max="6931" width="3.875" style="36" customWidth="1"/>
    <col min="6932" max="6932" width="6.25" style="36" customWidth="1"/>
    <col min="6933" max="6933" width="3.875" style="36" customWidth="1"/>
    <col min="6934" max="6934" width="5.25" style="36" bestFit="1" customWidth="1"/>
    <col min="6935" max="6935" width="25.25" style="36" customWidth="1"/>
    <col min="6936" max="6936" width="12.625" style="36" customWidth="1"/>
    <col min="6937" max="6937" width="0" style="36" hidden="1" customWidth="1"/>
    <col min="6938" max="7170" width="9" style="36"/>
    <col min="7171" max="7171" width="8.375" style="36" customWidth="1"/>
    <col min="7172" max="7172" width="9" style="36" customWidth="1"/>
    <col min="7173" max="7173" width="10.75" style="36" customWidth="1"/>
    <col min="7174" max="7174" width="11" style="36" customWidth="1"/>
    <col min="7175" max="7175" width="10.5" style="36" customWidth="1"/>
    <col min="7176" max="7176" width="11.25" style="36" bestFit="1" customWidth="1"/>
    <col min="7177" max="7177" width="2" style="36" customWidth="1"/>
    <col min="7178" max="7180" width="1.75" style="36" customWidth="1"/>
    <col min="7181" max="7181" width="3.125" style="36" customWidth="1"/>
    <col min="7182" max="7182" width="3.25" style="36" customWidth="1"/>
    <col min="7183" max="7183" width="2" style="36" customWidth="1"/>
    <col min="7184" max="7184" width="4.5" style="36" customWidth="1"/>
    <col min="7185" max="7185" width="6.125" style="36" customWidth="1"/>
    <col min="7186" max="7186" width="11.125" style="36" customWidth="1"/>
    <col min="7187" max="7187" width="3.875" style="36" customWidth="1"/>
    <col min="7188" max="7188" width="6.25" style="36" customWidth="1"/>
    <col min="7189" max="7189" width="3.875" style="36" customWidth="1"/>
    <col min="7190" max="7190" width="5.25" style="36" bestFit="1" customWidth="1"/>
    <col min="7191" max="7191" width="25.25" style="36" customWidth="1"/>
    <col min="7192" max="7192" width="12.625" style="36" customWidth="1"/>
    <col min="7193" max="7193" width="0" style="36" hidden="1" customWidth="1"/>
    <col min="7194" max="7426" width="9" style="36"/>
    <col min="7427" max="7427" width="8.375" style="36" customWidth="1"/>
    <col min="7428" max="7428" width="9" style="36" customWidth="1"/>
    <col min="7429" max="7429" width="10.75" style="36" customWidth="1"/>
    <col min="7430" max="7430" width="11" style="36" customWidth="1"/>
    <col min="7431" max="7431" width="10.5" style="36" customWidth="1"/>
    <col min="7432" max="7432" width="11.25" style="36" bestFit="1" customWidth="1"/>
    <col min="7433" max="7433" width="2" style="36" customWidth="1"/>
    <col min="7434" max="7436" width="1.75" style="36" customWidth="1"/>
    <col min="7437" max="7437" width="3.125" style="36" customWidth="1"/>
    <col min="7438" max="7438" width="3.25" style="36" customWidth="1"/>
    <col min="7439" max="7439" width="2" style="36" customWidth="1"/>
    <col min="7440" max="7440" width="4.5" style="36" customWidth="1"/>
    <col min="7441" max="7441" width="6.125" style="36" customWidth="1"/>
    <col min="7442" max="7442" width="11.125" style="36" customWidth="1"/>
    <col min="7443" max="7443" width="3.875" style="36" customWidth="1"/>
    <col min="7444" max="7444" width="6.25" style="36" customWidth="1"/>
    <col min="7445" max="7445" width="3.875" style="36" customWidth="1"/>
    <col min="7446" max="7446" width="5.25" style="36" bestFit="1" customWidth="1"/>
    <col min="7447" max="7447" width="25.25" style="36" customWidth="1"/>
    <col min="7448" max="7448" width="12.625" style="36" customWidth="1"/>
    <col min="7449" max="7449" width="0" style="36" hidden="1" customWidth="1"/>
    <col min="7450" max="7682" width="9" style="36"/>
    <col min="7683" max="7683" width="8.375" style="36" customWidth="1"/>
    <col min="7684" max="7684" width="9" style="36" customWidth="1"/>
    <col min="7685" max="7685" width="10.75" style="36" customWidth="1"/>
    <col min="7686" max="7686" width="11" style="36" customWidth="1"/>
    <col min="7687" max="7687" width="10.5" style="36" customWidth="1"/>
    <col min="7688" max="7688" width="11.25" style="36" bestFit="1" customWidth="1"/>
    <col min="7689" max="7689" width="2" style="36" customWidth="1"/>
    <col min="7690" max="7692" width="1.75" style="36" customWidth="1"/>
    <col min="7693" max="7693" width="3.125" style="36" customWidth="1"/>
    <col min="7694" max="7694" width="3.25" style="36" customWidth="1"/>
    <col min="7695" max="7695" width="2" style="36" customWidth="1"/>
    <col min="7696" max="7696" width="4.5" style="36" customWidth="1"/>
    <col min="7697" max="7697" width="6.125" style="36" customWidth="1"/>
    <col min="7698" max="7698" width="11.125" style="36" customWidth="1"/>
    <col min="7699" max="7699" width="3.875" style="36" customWidth="1"/>
    <col min="7700" max="7700" width="6.25" style="36" customWidth="1"/>
    <col min="7701" max="7701" width="3.875" style="36" customWidth="1"/>
    <col min="7702" max="7702" width="5.25" style="36" bestFit="1" customWidth="1"/>
    <col min="7703" max="7703" width="25.25" style="36" customWidth="1"/>
    <col min="7704" max="7704" width="12.625" style="36" customWidth="1"/>
    <col min="7705" max="7705" width="0" style="36" hidden="1" customWidth="1"/>
    <col min="7706" max="7938" width="9" style="36"/>
    <col min="7939" max="7939" width="8.375" style="36" customWidth="1"/>
    <col min="7940" max="7940" width="9" style="36" customWidth="1"/>
    <col min="7941" max="7941" width="10.75" style="36" customWidth="1"/>
    <col min="7942" max="7942" width="11" style="36" customWidth="1"/>
    <col min="7943" max="7943" width="10.5" style="36" customWidth="1"/>
    <col min="7944" max="7944" width="11.25" style="36" bestFit="1" customWidth="1"/>
    <col min="7945" max="7945" width="2" style="36" customWidth="1"/>
    <col min="7946" max="7948" width="1.75" style="36" customWidth="1"/>
    <col min="7949" max="7949" width="3.125" style="36" customWidth="1"/>
    <col min="7950" max="7950" width="3.25" style="36" customWidth="1"/>
    <col min="7951" max="7951" width="2" style="36" customWidth="1"/>
    <col min="7952" max="7952" width="4.5" style="36" customWidth="1"/>
    <col min="7953" max="7953" width="6.125" style="36" customWidth="1"/>
    <col min="7954" max="7954" width="11.125" style="36" customWidth="1"/>
    <col min="7955" max="7955" width="3.875" style="36" customWidth="1"/>
    <col min="7956" max="7956" width="6.25" style="36" customWidth="1"/>
    <col min="7957" max="7957" width="3.875" style="36" customWidth="1"/>
    <col min="7958" max="7958" width="5.25" style="36" bestFit="1" customWidth="1"/>
    <col min="7959" max="7959" width="25.25" style="36" customWidth="1"/>
    <col min="7960" max="7960" width="12.625" style="36" customWidth="1"/>
    <col min="7961" max="7961" width="0" style="36" hidden="1" customWidth="1"/>
    <col min="7962" max="8194" width="9" style="36"/>
    <col min="8195" max="8195" width="8.375" style="36" customWidth="1"/>
    <col min="8196" max="8196" width="9" style="36" customWidth="1"/>
    <col min="8197" max="8197" width="10.75" style="36" customWidth="1"/>
    <col min="8198" max="8198" width="11" style="36" customWidth="1"/>
    <col min="8199" max="8199" width="10.5" style="36" customWidth="1"/>
    <col min="8200" max="8200" width="11.25" style="36" bestFit="1" customWidth="1"/>
    <col min="8201" max="8201" width="2" style="36" customWidth="1"/>
    <col min="8202" max="8204" width="1.75" style="36" customWidth="1"/>
    <col min="8205" max="8205" width="3.125" style="36" customWidth="1"/>
    <col min="8206" max="8206" width="3.25" style="36" customWidth="1"/>
    <col min="8207" max="8207" width="2" style="36" customWidth="1"/>
    <col min="8208" max="8208" width="4.5" style="36" customWidth="1"/>
    <col min="8209" max="8209" width="6.125" style="36" customWidth="1"/>
    <col min="8210" max="8210" width="11.125" style="36" customWidth="1"/>
    <col min="8211" max="8211" width="3.875" style="36" customWidth="1"/>
    <col min="8212" max="8212" width="6.25" style="36" customWidth="1"/>
    <col min="8213" max="8213" width="3.875" style="36" customWidth="1"/>
    <col min="8214" max="8214" width="5.25" style="36" bestFit="1" customWidth="1"/>
    <col min="8215" max="8215" width="25.25" style="36" customWidth="1"/>
    <col min="8216" max="8216" width="12.625" style="36" customWidth="1"/>
    <col min="8217" max="8217" width="0" style="36" hidden="1" customWidth="1"/>
    <col min="8218" max="8450" width="9" style="36"/>
    <col min="8451" max="8451" width="8.375" style="36" customWidth="1"/>
    <col min="8452" max="8452" width="9" style="36" customWidth="1"/>
    <col min="8453" max="8453" width="10.75" style="36" customWidth="1"/>
    <col min="8454" max="8454" width="11" style="36" customWidth="1"/>
    <col min="8455" max="8455" width="10.5" style="36" customWidth="1"/>
    <col min="8456" max="8456" width="11.25" style="36" bestFit="1" customWidth="1"/>
    <col min="8457" max="8457" width="2" style="36" customWidth="1"/>
    <col min="8458" max="8460" width="1.75" style="36" customWidth="1"/>
    <col min="8461" max="8461" width="3.125" style="36" customWidth="1"/>
    <col min="8462" max="8462" width="3.25" style="36" customWidth="1"/>
    <col min="8463" max="8463" width="2" style="36" customWidth="1"/>
    <col min="8464" max="8464" width="4.5" style="36" customWidth="1"/>
    <col min="8465" max="8465" width="6.125" style="36" customWidth="1"/>
    <col min="8466" max="8466" width="11.125" style="36" customWidth="1"/>
    <col min="8467" max="8467" width="3.875" style="36" customWidth="1"/>
    <col min="8468" max="8468" width="6.25" style="36" customWidth="1"/>
    <col min="8469" max="8469" width="3.875" style="36" customWidth="1"/>
    <col min="8470" max="8470" width="5.25" style="36" bestFit="1" customWidth="1"/>
    <col min="8471" max="8471" width="25.25" style="36" customWidth="1"/>
    <col min="8472" max="8472" width="12.625" style="36" customWidth="1"/>
    <col min="8473" max="8473" width="0" style="36" hidden="1" customWidth="1"/>
    <col min="8474" max="8706" width="9" style="36"/>
    <col min="8707" max="8707" width="8.375" style="36" customWidth="1"/>
    <col min="8708" max="8708" width="9" style="36" customWidth="1"/>
    <col min="8709" max="8709" width="10.75" style="36" customWidth="1"/>
    <col min="8710" max="8710" width="11" style="36" customWidth="1"/>
    <col min="8711" max="8711" width="10.5" style="36" customWidth="1"/>
    <col min="8712" max="8712" width="11.25" style="36" bestFit="1" customWidth="1"/>
    <col min="8713" max="8713" width="2" style="36" customWidth="1"/>
    <col min="8714" max="8716" width="1.75" style="36" customWidth="1"/>
    <col min="8717" max="8717" width="3.125" style="36" customWidth="1"/>
    <col min="8718" max="8718" width="3.25" style="36" customWidth="1"/>
    <col min="8719" max="8719" width="2" style="36" customWidth="1"/>
    <col min="8720" max="8720" width="4.5" style="36" customWidth="1"/>
    <col min="8721" max="8721" width="6.125" style="36" customWidth="1"/>
    <col min="8722" max="8722" width="11.125" style="36" customWidth="1"/>
    <col min="8723" max="8723" width="3.875" style="36" customWidth="1"/>
    <col min="8724" max="8724" width="6.25" style="36" customWidth="1"/>
    <col min="8725" max="8725" width="3.875" style="36" customWidth="1"/>
    <col min="8726" max="8726" width="5.25" style="36" bestFit="1" customWidth="1"/>
    <col min="8727" max="8727" width="25.25" style="36" customWidth="1"/>
    <col min="8728" max="8728" width="12.625" style="36" customWidth="1"/>
    <col min="8729" max="8729" width="0" style="36" hidden="1" customWidth="1"/>
    <col min="8730" max="8962" width="9" style="36"/>
    <col min="8963" max="8963" width="8.375" style="36" customWidth="1"/>
    <col min="8964" max="8964" width="9" style="36" customWidth="1"/>
    <col min="8965" max="8965" width="10.75" style="36" customWidth="1"/>
    <col min="8966" max="8966" width="11" style="36" customWidth="1"/>
    <col min="8967" max="8967" width="10.5" style="36" customWidth="1"/>
    <col min="8968" max="8968" width="11.25" style="36" bestFit="1" customWidth="1"/>
    <col min="8969" max="8969" width="2" style="36" customWidth="1"/>
    <col min="8970" max="8972" width="1.75" style="36" customWidth="1"/>
    <col min="8973" max="8973" width="3.125" style="36" customWidth="1"/>
    <col min="8974" max="8974" width="3.25" style="36" customWidth="1"/>
    <col min="8975" max="8975" width="2" style="36" customWidth="1"/>
    <col min="8976" max="8976" width="4.5" style="36" customWidth="1"/>
    <col min="8977" max="8977" width="6.125" style="36" customWidth="1"/>
    <col min="8978" max="8978" width="11.125" style="36" customWidth="1"/>
    <col min="8979" max="8979" width="3.875" style="36" customWidth="1"/>
    <col min="8980" max="8980" width="6.25" style="36" customWidth="1"/>
    <col min="8981" max="8981" width="3.875" style="36" customWidth="1"/>
    <col min="8982" max="8982" width="5.25" style="36" bestFit="1" customWidth="1"/>
    <col min="8983" max="8983" width="25.25" style="36" customWidth="1"/>
    <col min="8984" max="8984" width="12.625" style="36" customWidth="1"/>
    <col min="8985" max="8985" width="0" style="36" hidden="1" customWidth="1"/>
    <col min="8986" max="9218" width="9" style="36"/>
    <col min="9219" max="9219" width="8.375" style="36" customWidth="1"/>
    <col min="9220" max="9220" width="9" style="36" customWidth="1"/>
    <col min="9221" max="9221" width="10.75" style="36" customWidth="1"/>
    <col min="9222" max="9222" width="11" style="36" customWidth="1"/>
    <col min="9223" max="9223" width="10.5" style="36" customWidth="1"/>
    <col min="9224" max="9224" width="11.25" style="36" bestFit="1" customWidth="1"/>
    <col min="9225" max="9225" width="2" style="36" customWidth="1"/>
    <col min="9226" max="9228" width="1.75" style="36" customWidth="1"/>
    <col min="9229" max="9229" width="3.125" style="36" customWidth="1"/>
    <col min="9230" max="9230" width="3.25" style="36" customWidth="1"/>
    <col min="9231" max="9231" width="2" style="36" customWidth="1"/>
    <col min="9232" max="9232" width="4.5" style="36" customWidth="1"/>
    <col min="9233" max="9233" width="6.125" style="36" customWidth="1"/>
    <col min="9234" max="9234" width="11.125" style="36" customWidth="1"/>
    <col min="9235" max="9235" width="3.875" style="36" customWidth="1"/>
    <col min="9236" max="9236" width="6.25" style="36" customWidth="1"/>
    <col min="9237" max="9237" width="3.875" style="36" customWidth="1"/>
    <col min="9238" max="9238" width="5.25" style="36" bestFit="1" customWidth="1"/>
    <col min="9239" max="9239" width="25.25" style="36" customWidth="1"/>
    <col min="9240" max="9240" width="12.625" style="36" customWidth="1"/>
    <col min="9241" max="9241" width="0" style="36" hidden="1" customWidth="1"/>
    <col min="9242" max="9474" width="9" style="36"/>
    <col min="9475" max="9475" width="8.375" style="36" customWidth="1"/>
    <col min="9476" max="9476" width="9" style="36" customWidth="1"/>
    <col min="9477" max="9477" width="10.75" style="36" customWidth="1"/>
    <col min="9478" max="9478" width="11" style="36" customWidth="1"/>
    <col min="9479" max="9479" width="10.5" style="36" customWidth="1"/>
    <col min="9480" max="9480" width="11.25" style="36" bestFit="1" customWidth="1"/>
    <col min="9481" max="9481" width="2" style="36" customWidth="1"/>
    <col min="9482" max="9484" width="1.75" style="36" customWidth="1"/>
    <col min="9485" max="9485" width="3.125" style="36" customWidth="1"/>
    <col min="9486" max="9486" width="3.25" style="36" customWidth="1"/>
    <col min="9487" max="9487" width="2" style="36" customWidth="1"/>
    <col min="9488" max="9488" width="4.5" style="36" customWidth="1"/>
    <col min="9489" max="9489" width="6.125" style="36" customWidth="1"/>
    <col min="9490" max="9490" width="11.125" style="36" customWidth="1"/>
    <col min="9491" max="9491" width="3.875" style="36" customWidth="1"/>
    <col min="9492" max="9492" width="6.25" style="36" customWidth="1"/>
    <col min="9493" max="9493" width="3.875" style="36" customWidth="1"/>
    <col min="9494" max="9494" width="5.25" style="36" bestFit="1" customWidth="1"/>
    <col min="9495" max="9495" width="25.25" style="36" customWidth="1"/>
    <col min="9496" max="9496" width="12.625" style="36" customWidth="1"/>
    <col min="9497" max="9497" width="0" style="36" hidden="1" customWidth="1"/>
    <col min="9498" max="9730" width="9" style="36"/>
    <col min="9731" max="9731" width="8.375" style="36" customWidth="1"/>
    <col min="9732" max="9732" width="9" style="36" customWidth="1"/>
    <col min="9733" max="9733" width="10.75" style="36" customWidth="1"/>
    <col min="9734" max="9734" width="11" style="36" customWidth="1"/>
    <col min="9735" max="9735" width="10.5" style="36" customWidth="1"/>
    <col min="9736" max="9736" width="11.25" style="36" bestFit="1" customWidth="1"/>
    <col min="9737" max="9737" width="2" style="36" customWidth="1"/>
    <col min="9738" max="9740" width="1.75" style="36" customWidth="1"/>
    <col min="9741" max="9741" width="3.125" style="36" customWidth="1"/>
    <col min="9742" max="9742" width="3.25" style="36" customWidth="1"/>
    <col min="9743" max="9743" width="2" style="36" customWidth="1"/>
    <col min="9744" max="9744" width="4.5" style="36" customWidth="1"/>
    <col min="9745" max="9745" width="6.125" style="36" customWidth="1"/>
    <col min="9746" max="9746" width="11.125" style="36" customWidth="1"/>
    <col min="9747" max="9747" width="3.875" style="36" customWidth="1"/>
    <col min="9748" max="9748" width="6.25" style="36" customWidth="1"/>
    <col min="9749" max="9749" width="3.875" style="36" customWidth="1"/>
    <col min="9750" max="9750" width="5.25" style="36" bestFit="1" customWidth="1"/>
    <col min="9751" max="9751" width="25.25" style="36" customWidth="1"/>
    <col min="9752" max="9752" width="12.625" style="36" customWidth="1"/>
    <col min="9753" max="9753" width="0" style="36" hidden="1" customWidth="1"/>
    <col min="9754" max="9986" width="9" style="36"/>
    <col min="9987" max="9987" width="8.375" style="36" customWidth="1"/>
    <col min="9988" max="9988" width="9" style="36" customWidth="1"/>
    <col min="9989" max="9989" width="10.75" style="36" customWidth="1"/>
    <col min="9990" max="9990" width="11" style="36" customWidth="1"/>
    <col min="9991" max="9991" width="10.5" style="36" customWidth="1"/>
    <col min="9992" max="9992" width="11.25" style="36" bestFit="1" customWidth="1"/>
    <col min="9993" max="9993" width="2" style="36" customWidth="1"/>
    <col min="9994" max="9996" width="1.75" style="36" customWidth="1"/>
    <col min="9997" max="9997" width="3.125" style="36" customWidth="1"/>
    <col min="9998" max="9998" width="3.25" style="36" customWidth="1"/>
    <col min="9999" max="9999" width="2" style="36" customWidth="1"/>
    <col min="10000" max="10000" width="4.5" style="36" customWidth="1"/>
    <col min="10001" max="10001" width="6.125" style="36" customWidth="1"/>
    <col min="10002" max="10002" width="11.125" style="36" customWidth="1"/>
    <col min="10003" max="10003" width="3.875" style="36" customWidth="1"/>
    <col min="10004" max="10004" width="6.25" style="36" customWidth="1"/>
    <col min="10005" max="10005" width="3.875" style="36" customWidth="1"/>
    <col min="10006" max="10006" width="5.25" style="36" bestFit="1" customWidth="1"/>
    <col min="10007" max="10007" width="25.25" style="36" customWidth="1"/>
    <col min="10008" max="10008" width="12.625" style="36" customWidth="1"/>
    <col min="10009" max="10009" width="0" style="36" hidden="1" customWidth="1"/>
    <col min="10010" max="10242" width="9" style="36"/>
    <col min="10243" max="10243" width="8.375" style="36" customWidth="1"/>
    <col min="10244" max="10244" width="9" style="36" customWidth="1"/>
    <col min="10245" max="10245" width="10.75" style="36" customWidth="1"/>
    <col min="10246" max="10246" width="11" style="36" customWidth="1"/>
    <col min="10247" max="10247" width="10.5" style="36" customWidth="1"/>
    <col min="10248" max="10248" width="11.25" style="36" bestFit="1" customWidth="1"/>
    <col min="10249" max="10249" width="2" style="36" customWidth="1"/>
    <col min="10250" max="10252" width="1.75" style="36" customWidth="1"/>
    <col min="10253" max="10253" width="3.125" style="36" customWidth="1"/>
    <col min="10254" max="10254" width="3.25" style="36" customWidth="1"/>
    <col min="10255" max="10255" width="2" style="36" customWidth="1"/>
    <col min="10256" max="10256" width="4.5" style="36" customWidth="1"/>
    <col min="10257" max="10257" width="6.125" style="36" customWidth="1"/>
    <col min="10258" max="10258" width="11.125" style="36" customWidth="1"/>
    <col min="10259" max="10259" width="3.875" style="36" customWidth="1"/>
    <col min="10260" max="10260" width="6.25" style="36" customWidth="1"/>
    <col min="10261" max="10261" width="3.875" style="36" customWidth="1"/>
    <col min="10262" max="10262" width="5.25" style="36" bestFit="1" customWidth="1"/>
    <col min="10263" max="10263" width="25.25" style="36" customWidth="1"/>
    <col min="10264" max="10264" width="12.625" style="36" customWidth="1"/>
    <col min="10265" max="10265" width="0" style="36" hidden="1" customWidth="1"/>
    <col min="10266" max="10498" width="9" style="36"/>
    <col min="10499" max="10499" width="8.375" style="36" customWidth="1"/>
    <col min="10500" max="10500" width="9" style="36" customWidth="1"/>
    <col min="10501" max="10501" width="10.75" style="36" customWidth="1"/>
    <col min="10502" max="10502" width="11" style="36" customWidth="1"/>
    <col min="10503" max="10503" width="10.5" style="36" customWidth="1"/>
    <col min="10504" max="10504" width="11.25" style="36" bestFit="1" customWidth="1"/>
    <col min="10505" max="10505" width="2" style="36" customWidth="1"/>
    <col min="10506" max="10508" width="1.75" style="36" customWidth="1"/>
    <col min="10509" max="10509" width="3.125" style="36" customWidth="1"/>
    <col min="10510" max="10510" width="3.25" style="36" customWidth="1"/>
    <col min="10511" max="10511" width="2" style="36" customWidth="1"/>
    <col min="10512" max="10512" width="4.5" style="36" customWidth="1"/>
    <col min="10513" max="10513" width="6.125" style="36" customWidth="1"/>
    <col min="10514" max="10514" width="11.125" style="36" customWidth="1"/>
    <col min="10515" max="10515" width="3.875" style="36" customWidth="1"/>
    <col min="10516" max="10516" width="6.25" style="36" customWidth="1"/>
    <col min="10517" max="10517" width="3.875" style="36" customWidth="1"/>
    <col min="10518" max="10518" width="5.25" style="36" bestFit="1" customWidth="1"/>
    <col min="10519" max="10519" width="25.25" style="36" customWidth="1"/>
    <col min="10520" max="10520" width="12.625" style="36" customWidth="1"/>
    <col min="10521" max="10521" width="0" style="36" hidden="1" customWidth="1"/>
    <col min="10522" max="10754" width="9" style="36"/>
    <col min="10755" max="10755" width="8.375" style="36" customWidth="1"/>
    <col min="10756" max="10756" width="9" style="36" customWidth="1"/>
    <col min="10757" max="10757" width="10.75" style="36" customWidth="1"/>
    <col min="10758" max="10758" width="11" style="36" customWidth="1"/>
    <col min="10759" max="10759" width="10.5" style="36" customWidth="1"/>
    <col min="10760" max="10760" width="11.25" style="36" bestFit="1" customWidth="1"/>
    <col min="10761" max="10761" width="2" style="36" customWidth="1"/>
    <col min="10762" max="10764" width="1.75" style="36" customWidth="1"/>
    <col min="10765" max="10765" width="3.125" style="36" customWidth="1"/>
    <col min="10766" max="10766" width="3.25" style="36" customWidth="1"/>
    <col min="10767" max="10767" width="2" style="36" customWidth="1"/>
    <col min="10768" max="10768" width="4.5" style="36" customWidth="1"/>
    <col min="10769" max="10769" width="6.125" style="36" customWidth="1"/>
    <col min="10770" max="10770" width="11.125" style="36" customWidth="1"/>
    <col min="10771" max="10771" width="3.875" style="36" customWidth="1"/>
    <col min="10772" max="10772" width="6.25" style="36" customWidth="1"/>
    <col min="10773" max="10773" width="3.875" style="36" customWidth="1"/>
    <col min="10774" max="10774" width="5.25" style="36" bestFit="1" customWidth="1"/>
    <col min="10775" max="10775" width="25.25" style="36" customWidth="1"/>
    <col min="10776" max="10776" width="12.625" style="36" customWidth="1"/>
    <col min="10777" max="10777" width="0" style="36" hidden="1" customWidth="1"/>
    <col min="10778" max="11010" width="9" style="36"/>
    <col min="11011" max="11011" width="8.375" style="36" customWidth="1"/>
    <col min="11012" max="11012" width="9" style="36" customWidth="1"/>
    <col min="11013" max="11013" width="10.75" style="36" customWidth="1"/>
    <col min="11014" max="11014" width="11" style="36" customWidth="1"/>
    <col min="11015" max="11015" width="10.5" style="36" customWidth="1"/>
    <col min="11016" max="11016" width="11.25" style="36" bestFit="1" customWidth="1"/>
    <col min="11017" max="11017" width="2" style="36" customWidth="1"/>
    <col min="11018" max="11020" width="1.75" style="36" customWidth="1"/>
    <col min="11021" max="11021" width="3.125" style="36" customWidth="1"/>
    <col min="11022" max="11022" width="3.25" style="36" customWidth="1"/>
    <col min="11023" max="11023" width="2" style="36" customWidth="1"/>
    <col min="11024" max="11024" width="4.5" style="36" customWidth="1"/>
    <col min="11025" max="11025" width="6.125" style="36" customWidth="1"/>
    <col min="11026" max="11026" width="11.125" style="36" customWidth="1"/>
    <col min="11027" max="11027" width="3.875" style="36" customWidth="1"/>
    <col min="11028" max="11028" width="6.25" style="36" customWidth="1"/>
    <col min="11029" max="11029" width="3.875" style="36" customWidth="1"/>
    <col min="11030" max="11030" width="5.25" style="36" bestFit="1" customWidth="1"/>
    <col min="11031" max="11031" width="25.25" style="36" customWidth="1"/>
    <col min="11032" max="11032" width="12.625" style="36" customWidth="1"/>
    <col min="11033" max="11033" width="0" style="36" hidden="1" customWidth="1"/>
    <col min="11034" max="11266" width="9" style="36"/>
    <col min="11267" max="11267" width="8.375" style="36" customWidth="1"/>
    <col min="11268" max="11268" width="9" style="36" customWidth="1"/>
    <col min="11269" max="11269" width="10.75" style="36" customWidth="1"/>
    <col min="11270" max="11270" width="11" style="36" customWidth="1"/>
    <col min="11271" max="11271" width="10.5" style="36" customWidth="1"/>
    <col min="11272" max="11272" width="11.25" style="36" bestFit="1" customWidth="1"/>
    <col min="11273" max="11273" width="2" style="36" customWidth="1"/>
    <col min="11274" max="11276" width="1.75" style="36" customWidth="1"/>
    <col min="11277" max="11277" width="3.125" style="36" customWidth="1"/>
    <col min="11278" max="11278" width="3.25" style="36" customWidth="1"/>
    <col min="11279" max="11279" width="2" style="36" customWidth="1"/>
    <col min="11280" max="11280" width="4.5" style="36" customWidth="1"/>
    <col min="11281" max="11281" width="6.125" style="36" customWidth="1"/>
    <col min="11282" max="11282" width="11.125" style="36" customWidth="1"/>
    <col min="11283" max="11283" width="3.875" style="36" customWidth="1"/>
    <col min="11284" max="11284" width="6.25" style="36" customWidth="1"/>
    <col min="11285" max="11285" width="3.875" style="36" customWidth="1"/>
    <col min="11286" max="11286" width="5.25" style="36" bestFit="1" customWidth="1"/>
    <col min="11287" max="11287" width="25.25" style="36" customWidth="1"/>
    <col min="11288" max="11288" width="12.625" style="36" customWidth="1"/>
    <col min="11289" max="11289" width="0" style="36" hidden="1" customWidth="1"/>
    <col min="11290" max="11522" width="9" style="36"/>
    <col min="11523" max="11523" width="8.375" style="36" customWidth="1"/>
    <col min="11524" max="11524" width="9" style="36" customWidth="1"/>
    <col min="11525" max="11525" width="10.75" style="36" customWidth="1"/>
    <col min="11526" max="11526" width="11" style="36" customWidth="1"/>
    <col min="11527" max="11527" width="10.5" style="36" customWidth="1"/>
    <col min="11528" max="11528" width="11.25" style="36" bestFit="1" customWidth="1"/>
    <col min="11529" max="11529" width="2" style="36" customWidth="1"/>
    <col min="11530" max="11532" width="1.75" style="36" customWidth="1"/>
    <col min="11533" max="11533" width="3.125" style="36" customWidth="1"/>
    <col min="11534" max="11534" width="3.25" style="36" customWidth="1"/>
    <col min="11535" max="11535" width="2" style="36" customWidth="1"/>
    <col min="11536" max="11536" width="4.5" style="36" customWidth="1"/>
    <col min="11537" max="11537" width="6.125" style="36" customWidth="1"/>
    <col min="11538" max="11538" width="11.125" style="36" customWidth="1"/>
    <col min="11539" max="11539" width="3.875" style="36" customWidth="1"/>
    <col min="11540" max="11540" width="6.25" style="36" customWidth="1"/>
    <col min="11541" max="11541" width="3.875" style="36" customWidth="1"/>
    <col min="11542" max="11542" width="5.25" style="36" bestFit="1" customWidth="1"/>
    <col min="11543" max="11543" width="25.25" style="36" customWidth="1"/>
    <col min="11544" max="11544" width="12.625" style="36" customWidth="1"/>
    <col min="11545" max="11545" width="0" style="36" hidden="1" customWidth="1"/>
    <col min="11546" max="11778" width="9" style="36"/>
    <col min="11779" max="11779" width="8.375" style="36" customWidth="1"/>
    <col min="11780" max="11780" width="9" style="36" customWidth="1"/>
    <col min="11781" max="11781" width="10.75" style="36" customWidth="1"/>
    <col min="11782" max="11782" width="11" style="36" customWidth="1"/>
    <col min="11783" max="11783" width="10.5" style="36" customWidth="1"/>
    <col min="11784" max="11784" width="11.25" style="36" bestFit="1" customWidth="1"/>
    <col min="11785" max="11785" width="2" style="36" customWidth="1"/>
    <col min="11786" max="11788" width="1.75" style="36" customWidth="1"/>
    <col min="11789" max="11789" width="3.125" style="36" customWidth="1"/>
    <col min="11790" max="11790" width="3.25" style="36" customWidth="1"/>
    <col min="11791" max="11791" width="2" style="36" customWidth="1"/>
    <col min="11792" max="11792" width="4.5" style="36" customWidth="1"/>
    <col min="11793" max="11793" width="6.125" style="36" customWidth="1"/>
    <col min="11794" max="11794" width="11.125" style="36" customWidth="1"/>
    <col min="11795" max="11795" width="3.875" style="36" customWidth="1"/>
    <col min="11796" max="11796" width="6.25" style="36" customWidth="1"/>
    <col min="11797" max="11797" width="3.875" style="36" customWidth="1"/>
    <col min="11798" max="11798" width="5.25" style="36" bestFit="1" customWidth="1"/>
    <col min="11799" max="11799" width="25.25" style="36" customWidth="1"/>
    <col min="11800" max="11800" width="12.625" style="36" customWidth="1"/>
    <col min="11801" max="11801" width="0" style="36" hidden="1" customWidth="1"/>
    <col min="11802" max="12034" width="9" style="36"/>
    <col min="12035" max="12035" width="8.375" style="36" customWidth="1"/>
    <col min="12036" max="12036" width="9" style="36" customWidth="1"/>
    <col min="12037" max="12037" width="10.75" style="36" customWidth="1"/>
    <col min="12038" max="12038" width="11" style="36" customWidth="1"/>
    <col min="12039" max="12039" width="10.5" style="36" customWidth="1"/>
    <col min="12040" max="12040" width="11.25" style="36" bestFit="1" customWidth="1"/>
    <col min="12041" max="12041" width="2" style="36" customWidth="1"/>
    <col min="12042" max="12044" width="1.75" style="36" customWidth="1"/>
    <col min="12045" max="12045" width="3.125" style="36" customWidth="1"/>
    <col min="12046" max="12046" width="3.25" style="36" customWidth="1"/>
    <col min="12047" max="12047" width="2" style="36" customWidth="1"/>
    <col min="12048" max="12048" width="4.5" style="36" customWidth="1"/>
    <col min="12049" max="12049" width="6.125" style="36" customWidth="1"/>
    <col min="12050" max="12050" width="11.125" style="36" customWidth="1"/>
    <col min="12051" max="12051" width="3.875" style="36" customWidth="1"/>
    <col min="12052" max="12052" width="6.25" style="36" customWidth="1"/>
    <col min="12053" max="12053" width="3.875" style="36" customWidth="1"/>
    <col min="12054" max="12054" width="5.25" style="36" bestFit="1" customWidth="1"/>
    <col min="12055" max="12055" width="25.25" style="36" customWidth="1"/>
    <col min="12056" max="12056" width="12.625" style="36" customWidth="1"/>
    <col min="12057" max="12057" width="0" style="36" hidden="1" customWidth="1"/>
    <col min="12058" max="12290" width="9" style="36"/>
    <col min="12291" max="12291" width="8.375" style="36" customWidth="1"/>
    <col min="12292" max="12292" width="9" style="36" customWidth="1"/>
    <col min="12293" max="12293" width="10.75" style="36" customWidth="1"/>
    <col min="12294" max="12294" width="11" style="36" customWidth="1"/>
    <col min="12295" max="12295" width="10.5" style="36" customWidth="1"/>
    <col min="12296" max="12296" width="11.25" style="36" bestFit="1" customWidth="1"/>
    <col min="12297" max="12297" width="2" style="36" customWidth="1"/>
    <col min="12298" max="12300" width="1.75" style="36" customWidth="1"/>
    <col min="12301" max="12301" width="3.125" style="36" customWidth="1"/>
    <col min="12302" max="12302" width="3.25" style="36" customWidth="1"/>
    <col min="12303" max="12303" width="2" style="36" customWidth="1"/>
    <col min="12304" max="12304" width="4.5" style="36" customWidth="1"/>
    <col min="12305" max="12305" width="6.125" style="36" customWidth="1"/>
    <col min="12306" max="12306" width="11.125" style="36" customWidth="1"/>
    <col min="12307" max="12307" width="3.875" style="36" customWidth="1"/>
    <col min="12308" max="12308" width="6.25" style="36" customWidth="1"/>
    <col min="12309" max="12309" width="3.875" style="36" customWidth="1"/>
    <col min="12310" max="12310" width="5.25" style="36" bestFit="1" customWidth="1"/>
    <col min="12311" max="12311" width="25.25" style="36" customWidth="1"/>
    <col min="12312" max="12312" width="12.625" style="36" customWidth="1"/>
    <col min="12313" max="12313" width="0" style="36" hidden="1" customWidth="1"/>
    <col min="12314" max="12546" width="9" style="36"/>
    <col min="12547" max="12547" width="8.375" style="36" customWidth="1"/>
    <col min="12548" max="12548" width="9" style="36" customWidth="1"/>
    <col min="12549" max="12549" width="10.75" style="36" customWidth="1"/>
    <col min="12550" max="12550" width="11" style="36" customWidth="1"/>
    <col min="12551" max="12551" width="10.5" style="36" customWidth="1"/>
    <col min="12552" max="12552" width="11.25" style="36" bestFit="1" customWidth="1"/>
    <col min="12553" max="12553" width="2" style="36" customWidth="1"/>
    <col min="12554" max="12556" width="1.75" style="36" customWidth="1"/>
    <col min="12557" max="12557" width="3.125" style="36" customWidth="1"/>
    <col min="12558" max="12558" width="3.25" style="36" customWidth="1"/>
    <col min="12559" max="12559" width="2" style="36" customWidth="1"/>
    <col min="12560" max="12560" width="4.5" style="36" customWidth="1"/>
    <col min="12561" max="12561" width="6.125" style="36" customWidth="1"/>
    <col min="12562" max="12562" width="11.125" style="36" customWidth="1"/>
    <col min="12563" max="12563" width="3.875" style="36" customWidth="1"/>
    <col min="12564" max="12564" width="6.25" style="36" customWidth="1"/>
    <col min="12565" max="12565" width="3.875" style="36" customWidth="1"/>
    <col min="12566" max="12566" width="5.25" style="36" bestFit="1" customWidth="1"/>
    <col min="12567" max="12567" width="25.25" style="36" customWidth="1"/>
    <col min="12568" max="12568" width="12.625" style="36" customWidth="1"/>
    <col min="12569" max="12569" width="0" style="36" hidden="1" customWidth="1"/>
    <col min="12570" max="12802" width="9" style="36"/>
    <col min="12803" max="12803" width="8.375" style="36" customWidth="1"/>
    <col min="12804" max="12804" width="9" style="36" customWidth="1"/>
    <col min="12805" max="12805" width="10.75" style="36" customWidth="1"/>
    <col min="12806" max="12806" width="11" style="36" customWidth="1"/>
    <col min="12807" max="12807" width="10.5" style="36" customWidth="1"/>
    <col min="12808" max="12808" width="11.25" style="36" bestFit="1" customWidth="1"/>
    <col min="12809" max="12809" width="2" style="36" customWidth="1"/>
    <col min="12810" max="12812" width="1.75" style="36" customWidth="1"/>
    <col min="12813" max="12813" width="3.125" style="36" customWidth="1"/>
    <col min="12814" max="12814" width="3.25" style="36" customWidth="1"/>
    <col min="12815" max="12815" width="2" style="36" customWidth="1"/>
    <col min="12816" max="12816" width="4.5" style="36" customWidth="1"/>
    <col min="12817" max="12817" width="6.125" style="36" customWidth="1"/>
    <col min="12818" max="12818" width="11.125" style="36" customWidth="1"/>
    <col min="12819" max="12819" width="3.875" style="36" customWidth="1"/>
    <col min="12820" max="12820" width="6.25" style="36" customWidth="1"/>
    <col min="12821" max="12821" width="3.875" style="36" customWidth="1"/>
    <col min="12822" max="12822" width="5.25" style="36" bestFit="1" customWidth="1"/>
    <col min="12823" max="12823" width="25.25" style="36" customWidth="1"/>
    <col min="12824" max="12824" width="12.625" style="36" customWidth="1"/>
    <col min="12825" max="12825" width="0" style="36" hidden="1" customWidth="1"/>
    <col min="12826" max="13058" width="9" style="36"/>
    <col min="13059" max="13059" width="8.375" style="36" customWidth="1"/>
    <col min="13060" max="13060" width="9" style="36" customWidth="1"/>
    <col min="13061" max="13061" width="10.75" style="36" customWidth="1"/>
    <col min="13062" max="13062" width="11" style="36" customWidth="1"/>
    <col min="13063" max="13063" width="10.5" style="36" customWidth="1"/>
    <col min="13064" max="13064" width="11.25" style="36" bestFit="1" customWidth="1"/>
    <col min="13065" max="13065" width="2" style="36" customWidth="1"/>
    <col min="13066" max="13068" width="1.75" style="36" customWidth="1"/>
    <col min="13069" max="13069" width="3.125" style="36" customWidth="1"/>
    <col min="13070" max="13070" width="3.25" style="36" customWidth="1"/>
    <col min="13071" max="13071" width="2" style="36" customWidth="1"/>
    <col min="13072" max="13072" width="4.5" style="36" customWidth="1"/>
    <col min="13073" max="13073" width="6.125" style="36" customWidth="1"/>
    <col min="13074" max="13074" width="11.125" style="36" customWidth="1"/>
    <col min="13075" max="13075" width="3.875" style="36" customWidth="1"/>
    <col min="13076" max="13076" width="6.25" style="36" customWidth="1"/>
    <col min="13077" max="13077" width="3.875" style="36" customWidth="1"/>
    <col min="13078" max="13078" width="5.25" style="36" bestFit="1" customWidth="1"/>
    <col min="13079" max="13079" width="25.25" style="36" customWidth="1"/>
    <col min="13080" max="13080" width="12.625" style="36" customWidth="1"/>
    <col min="13081" max="13081" width="0" style="36" hidden="1" customWidth="1"/>
    <col min="13082" max="13314" width="9" style="36"/>
    <col min="13315" max="13315" width="8.375" style="36" customWidth="1"/>
    <col min="13316" max="13316" width="9" style="36" customWidth="1"/>
    <col min="13317" max="13317" width="10.75" style="36" customWidth="1"/>
    <col min="13318" max="13318" width="11" style="36" customWidth="1"/>
    <col min="13319" max="13319" width="10.5" style="36" customWidth="1"/>
    <col min="13320" max="13320" width="11.25" style="36" bestFit="1" customWidth="1"/>
    <col min="13321" max="13321" width="2" style="36" customWidth="1"/>
    <col min="13322" max="13324" width="1.75" style="36" customWidth="1"/>
    <col min="13325" max="13325" width="3.125" style="36" customWidth="1"/>
    <col min="13326" max="13326" width="3.25" style="36" customWidth="1"/>
    <col min="13327" max="13327" width="2" style="36" customWidth="1"/>
    <col min="13328" max="13328" width="4.5" style="36" customWidth="1"/>
    <col min="13329" max="13329" width="6.125" style="36" customWidth="1"/>
    <col min="13330" max="13330" width="11.125" style="36" customWidth="1"/>
    <col min="13331" max="13331" width="3.875" style="36" customWidth="1"/>
    <col min="13332" max="13332" width="6.25" style="36" customWidth="1"/>
    <col min="13333" max="13333" width="3.875" style="36" customWidth="1"/>
    <col min="13334" max="13334" width="5.25" style="36" bestFit="1" customWidth="1"/>
    <col min="13335" max="13335" width="25.25" style="36" customWidth="1"/>
    <col min="13336" max="13336" width="12.625" style="36" customWidth="1"/>
    <col min="13337" max="13337" width="0" style="36" hidden="1" customWidth="1"/>
    <col min="13338" max="13570" width="9" style="36"/>
    <col min="13571" max="13571" width="8.375" style="36" customWidth="1"/>
    <col min="13572" max="13572" width="9" style="36" customWidth="1"/>
    <col min="13573" max="13573" width="10.75" style="36" customWidth="1"/>
    <col min="13574" max="13574" width="11" style="36" customWidth="1"/>
    <col min="13575" max="13575" width="10.5" style="36" customWidth="1"/>
    <col min="13576" max="13576" width="11.25" style="36" bestFit="1" customWidth="1"/>
    <col min="13577" max="13577" width="2" style="36" customWidth="1"/>
    <col min="13578" max="13580" width="1.75" style="36" customWidth="1"/>
    <col min="13581" max="13581" width="3.125" style="36" customWidth="1"/>
    <col min="13582" max="13582" width="3.25" style="36" customWidth="1"/>
    <col min="13583" max="13583" width="2" style="36" customWidth="1"/>
    <col min="13584" max="13584" width="4.5" style="36" customWidth="1"/>
    <col min="13585" max="13585" width="6.125" style="36" customWidth="1"/>
    <col min="13586" max="13586" width="11.125" style="36" customWidth="1"/>
    <col min="13587" max="13587" width="3.875" style="36" customWidth="1"/>
    <col min="13588" max="13588" width="6.25" style="36" customWidth="1"/>
    <col min="13589" max="13589" width="3.875" style="36" customWidth="1"/>
    <col min="13590" max="13590" width="5.25" style="36" bestFit="1" customWidth="1"/>
    <col min="13591" max="13591" width="25.25" style="36" customWidth="1"/>
    <col min="13592" max="13592" width="12.625" style="36" customWidth="1"/>
    <col min="13593" max="13593" width="0" style="36" hidden="1" customWidth="1"/>
    <col min="13594" max="13826" width="9" style="36"/>
    <col min="13827" max="13827" width="8.375" style="36" customWidth="1"/>
    <col min="13828" max="13828" width="9" style="36" customWidth="1"/>
    <col min="13829" max="13829" width="10.75" style="36" customWidth="1"/>
    <col min="13830" max="13830" width="11" style="36" customWidth="1"/>
    <col min="13831" max="13831" width="10.5" style="36" customWidth="1"/>
    <col min="13832" max="13832" width="11.25" style="36" bestFit="1" customWidth="1"/>
    <col min="13833" max="13833" width="2" style="36" customWidth="1"/>
    <col min="13834" max="13836" width="1.75" style="36" customWidth="1"/>
    <col min="13837" max="13837" width="3.125" style="36" customWidth="1"/>
    <col min="13838" max="13838" width="3.25" style="36" customWidth="1"/>
    <col min="13839" max="13839" width="2" style="36" customWidth="1"/>
    <col min="13840" max="13840" width="4.5" style="36" customWidth="1"/>
    <col min="13841" max="13841" width="6.125" style="36" customWidth="1"/>
    <col min="13842" max="13842" width="11.125" style="36" customWidth="1"/>
    <col min="13843" max="13843" width="3.875" style="36" customWidth="1"/>
    <col min="13844" max="13844" width="6.25" style="36" customWidth="1"/>
    <col min="13845" max="13845" width="3.875" style="36" customWidth="1"/>
    <col min="13846" max="13846" width="5.25" style="36" bestFit="1" customWidth="1"/>
    <col min="13847" max="13847" width="25.25" style="36" customWidth="1"/>
    <col min="13848" max="13848" width="12.625" style="36" customWidth="1"/>
    <col min="13849" max="13849" width="0" style="36" hidden="1" customWidth="1"/>
    <col min="13850" max="14082" width="9" style="36"/>
    <col min="14083" max="14083" width="8.375" style="36" customWidth="1"/>
    <col min="14084" max="14084" width="9" style="36" customWidth="1"/>
    <col min="14085" max="14085" width="10.75" style="36" customWidth="1"/>
    <col min="14086" max="14086" width="11" style="36" customWidth="1"/>
    <col min="14087" max="14087" width="10.5" style="36" customWidth="1"/>
    <col min="14088" max="14088" width="11.25" style="36" bestFit="1" customWidth="1"/>
    <col min="14089" max="14089" width="2" style="36" customWidth="1"/>
    <col min="14090" max="14092" width="1.75" style="36" customWidth="1"/>
    <col min="14093" max="14093" width="3.125" style="36" customWidth="1"/>
    <col min="14094" max="14094" width="3.25" style="36" customWidth="1"/>
    <col min="14095" max="14095" width="2" style="36" customWidth="1"/>
    <col min="14096" max="14096" width="4.5" style="36" customWidth="1"/>
    <col min="14097" max="14097" width="6.125" style="36" customWidth="1"/>
    <col min="14098" max="14098" width="11.125" style="36" customWidth="1"/>
    <col min="14099" max="14099" width="3.875" style="36" customWidth="1"/>
    <col min="14100" max="14100" width="6.25" style="36" customWidth="1"/>
    <col min="14101" max="14101" width="3.875" style="36" customWidth="1"/>
    <col min="14102" max="14102" width="5.25" style="36" bestFit="1" customWidth="1"/>
    <col min="14103" max="14103" width="25.25" style="36" customWidth="1"/>
    <col min="14104" max="14104" width="12.625" style="36" customWidth="1"/>
    <col min="14105" max="14105" width="0" style="36" hidden="1" customWidth="1"/>
    <col min="14106" max="14338" width="9" style="36"/>
    <col min="14339" max="14339" width="8.375" style="36" customWidth="1"/>
    <col min="14340" max="14340" width="9" style="36" customWidth="1"/>
    <col min="14341" max="14341" width="10.75" style="36" customWidth="1"/>
    <col min="14342" max="14342" width="11" style="36" customWidth="1"/>
    <col min="14343" max="14343" width="10.5" style="36" customWidth="1"/>
    <col min="14344" max="14344" width="11.25" style="36" bestFit="1" customWidth="1"/>
    <col min="14345" max="14345" width="2" style="36" customWidth="1"/>
    <col min="14346" max="14348" width="1.75" style="36" customWidth="1"/>
    <col min="14349" max="14349" width="3.125" style="36" customWidth="1"/>
    <col min="14350" max="14350" width="3.25" style="36" customWidth="1"/>
    <col min="14351" max="14351" width="2" style="36" customWidth="1"/>
    <col min="14352" max="14352" width="4.5" style="36" customWidth="1"/>
    <col min="14353" max="14353" width="6.125" style="36" customWidth="1"/>
    <col min="14354" max="14354" width="11.125" style="36" customWidth="1"/>
    <col min="14355" max="14355" width="3.875" style="36" customWidth="1"/>
    <col min="14356" max="14356" width="6.25" style="36" customWidth="1"/>
    <col min="14357" max="14357" width="3.875" style="36" customWidth="1"/>
    <col min="14358" max="14358" width="5.25" style="36" bestFit="1" customWidth="1"/>
    <col min="14359" max="14359" width="25.25" style="36" customWidth="1"/>
    <col min="14360" max="14360" width="12.625" style="36" customWidth="1"/>
    <col min="14361" max="14361" width="0" style="36" hidden="1" customWidth="1"/>
    <col min="14362" max="14594" width="9" style="36"/>
    <col min="14595" max="14595" width="8.375" style="36" customWidth="1"/>
    <col min="14596" max="14596" width="9" style="36" customWidth="1"/>
    <col min="14597" max="14597" width="10.75" style="36" customWidth="1"/>
    <col min="14598" max="14598" width="11" style="36" customWidth="1"/>
    <col min="14599" max="14599" width="10.5" style="36" customWidth="1"/>
    <col min="14600" max="14600" width="11.25" style="36" bestFit="1" customWidth="1"/>
    <col min="14601" max="14601" width="2" style="36" customWidth="1"/>
    <col min="14602" max="14604" width="1.75" style="36" customWidth="1"/>
    <col min="14605" max="14605" width="3.125" style="36" customWidth="1"/>
    <col min="14606" max="14606" width="3.25" style="36" customWidth="1"/>
    <col min="14607" max="14607" width="2" style="36" customWidth="1"/>
    <col min="14608" max="14608" width="4.5" style="36" customWidth="1"/>
    <col min="14609" max="14609" width="6.125" style="36" customWidth="1"/>
    <col min="14610" max="14610" width="11.125" style="36" customWidth="1"/>
    <col min="14611" max="14611" width="3.875" style="36" customWidth="1"/>
    <col min="14612" max="14612" width="6.25" style="36" customWidth="1"/>
    <col min="14613" max="14613" width="3.875" style="36" customWidth="1"/>
    <col min="14614" max="14614" width="5.25" style="36" bestFit="1" customWidth="1"/>
    <col min="14615" max="14615" width="25.25" style="36" customWidth="1"/>
    <col min="14616" max="14616" width="12.625" style="36" customWidth="1"/>
    <col min="14617" max="14617" width="0" style="36" hidden="1" customWidth="1"/>
    <col min="14618" max="14850" width="9" style="36"/>
    <col min="14851" max="14851" width="8.375" style="36" customWidth="1"/>
    <col min="14852" max="14852" width="9" style="36" customWidth="1"/>
    <col min="14853" max="14853" width="10.75" style="36" customWidth="1"/>
    <col min="14854" max="14854" width="11" style="36" customWidth="1"/>
    <col min="14855" max="14855" width="10.5" style="36" customWidth="1"/>
    <col min="14856" max="14856" width="11.25" style="36" bestFit="1" customWidth="1"/>
    <col min="14857" max="14857" width="2" style="36" customWidth="1"/>
    <col min="14858" max="14860" width="1.75" style="36" customWidth="1"/>
    <col min="14861" max="14861" width="3.125" style="36" customWidth="1"/>
    <col min="14862" max="14862" width="3.25" style="36" customWidth="1"/>
    <col min="14863" max="14863" width="2" style="36" customWidth="1"/>
    <col min="14864" max="14864" width="4.5" style="36" customWidth="1"/>
    <col min="14865" max="14865" width="6.125" style="36" customWidth="1"/>
    <col min="14866" max="14866" width="11.125" style="36" customWidth="1"/>
    <col min="14867" max="14867" width="3.875" style="36" customWidth="1"/>
    <col min="14868" max="14868" width="6.25" style="36" customWidth="1"/>
    <col min="14869" max="14869" width="3.875" style="36" customWidth="1"/>
    <col min="14870" max="14870" width="5.25" style="36" bestFit="1" customWidth="1"/>
    <col min="14871" max="14871" width="25.25" style="36" customWidth="1"/>
    <col min="14872" max="14872" width="12.625" style="36" customWidth="1"/>
    <col min="14873" max="14873" width="0" style="36" hidden="1" customWidth="1"/>
    <col min="14874" max="15106" width="9" style="36"/>
    <col min="15107" max="15107" width="8.375" style="36" customWidth="1"/>
    <col min="15108" max="15108" width="9" style="36" customWidth="1"/>
    <col min="15109" max="15109" width="10.75" style="36" customWidth="1"/>
    <col min="15110" max="15110" width="11" style="36" customWidth="1"/>
    <col min="15111" max="15111" width="10.5" style="36" customWidth="1"/>
    <col min="15112" max="15112" width="11.25" style="36" bestFit="1" customWidth="1"/>
    <col min="15113" max="15113" width="2" style="36" customWidth="1"/>
    <col min="15114" max="15116" width="1.75" style="36" customWidth="1"/>
    <col min="15117" max="15117" width="3.125" style="36" customWidth="1"/>
    <col min="15118" max="15118" width="3.25" style="36" customWidth="1"/>
    <col min="15119" max="15119" width="2" style="36" customWidth="1"/>
    <col min="15120" max="15120" width="4.5" style="36" customWidth="1"/>
    <col min="15121" max="15121" width="6.125" style="36" customWidth="1"/>
    <col min="15122" max="15122" width="11.125" style="36" customWidth="1"/>
    <col min="15123" max="15123" width="3.875" style="36" customWidth="1"/>
    <col min="15124" max="15124" width="6.25" style="36" customWidth="1"/>
    <col min="15125" max="15125" width="3.875" style="36" customWidth="1"/>
    <col min="15126" max="15126" width="5.25" style="36" bestFit="1" customWidth="1"/>
    <col min="15127" max="15127" width="25.25" style="36" customWidth="1"/>
    <col min="15128" max="15128" width="12.625" style="36" customWidth="1"/>
    <col min="15129" max="15129" width="0" style="36" hidden="1" customWidth="1"/>
    <col min="15130" max="15362" width="9" style="36"/>
    <col min="15363" max="15363" width="8.375" style="36" customWidth="1"/>
    <col min="15364" max="15364" width="9" style="36" customWidth="1"/>
    <col min="15365" max="15365" width="10.75" style="36" customWidth="1"/>
    <col min="15366" max="15366" width="11" style="36" customWidth="1"/>
    <col min="15367" max="15367" width="10.5" style="36" customWidth="1"/>
    <col min="15368" max="15368" width="11.25" style="36" bestFit="1" customWidth="1"/>
    <col min="15369" max="15369" width="2" style="36" customWidth="1"/>
    <col min="15370" max="15372" width="1.75" style="36" customWidth="1"/>
    <col min="15373" max="15373" width="3.125" style="36" customWidth="1"/>
    <col min="15374" max="15374" width="3.25" style="36" customWidth="1"/>
    <col min="15375" max="15375" width="2" style="36" customWidth="1"/>
    <col min="15376" max="15376" width="4.5" style="36" customWidth="1"/>
    <col min="15377" max="15377" width="6.125" style="36" customWidth="1"/>
    <col min="15378" max="15378" width="11.125" style="36" customWidth="1"/>
    <col min="15379" max="15379" width="3.875" style="36" customWidth="1"/>
    <col min="15380" max="15380" width="6.25" style="36" customWidth="1"/>
    <col min="15381" max="15381" width="3.875" style="36" customWidth="1"/>
    <col min="15382" max="15382" width="5.25" style="36" bestFit="1" customWidth="1"/>
    <col min="15383" max="15383" width="25.25" style="36" customWidth="1"/>
    <col min="15384" max="15384" width="12.625" style="36" customWidth="1"/>
    <col min="15385" max="15385" width="0" style="36" hidden="1" customWidth="1"/>
    <col min="15386" max="15618" width="9" style="36"/>
    <col min="15619" max="15619" width="8.375" style="36" customWidth="1"/>
    <col min="15620" max="15620" width="9" style="36" customWidth="1"/>
    <col min="15621" max="15621" width="10.75" style="36" customWidth="1"/>
    <col min="15622" max="15622" width="11" style="36" customWidth="1"/>
    <col min="15623" max="15623" width="10.5" style="36" customWidth="1"/>
    <col min="15624" max="15624" width="11.25" style="36" bestFit="1" customWidth="1"/>
    <col min="15625" max="15625" width="2" style="36" customWidth="1"/>
    <col min="15626" max="15628" width="1.75" style="36" customWidth="1"/>
    <col min="15629" max="15629" width="3.125" style="36" customWidth="1"/>
    <col min="15630" max="15630" width="3.25" style="36" customWidth="1"/>
    <col min="15631" max="15631" width="2" style="36" customWidth="1"/>
    <col min="15632" max="15632" width="4.5" style="36" customWidth="1"/>
    <col min="15633" max="15633" width="6.125" style="36" customWidth="1"/>
    <col min="15634" max="15634" width="11.125" style="36" customWidth="1"/>
    <col min="15635" max="15635" width="3.875" style="36" customWidth="1"/>
    <col min="15636" max="15636" width="6.25" style="36" customWidth="1"/>
    <col min="15637" max="15637" width="3.875" style="36" customWidth="1"/>
    <col min="15638" max="15638" width="5.25" style="36" bestFit="1" customWidth="1"/>
    <col min="15639" max="15639" width="25.25" style="36" customWidth="1"/>
    <col min="15640" max="15640" width="12.625" style="36" customWidth="1"/>
    <col min="15641" max="15641" width="0" style="36" hidden="1" customWidth="1"/>
    <col min="15642" max="15874" width="9" style="36"/>
    <col min="15875" max="15875" width="8.375" style="36" customWidth="1"/>
    <col min="15876" max="15876" width="9" style="36" customWidth="1"/>
    <col min="15877" max="15877" width="10.75" style="36" customWidth="1"/>
    <col min="15878" max="15878" width="11" style="36" customWidth="1"/>
    <col min="15879" max="15879" width="10.5" style="36" customWidth="1"/>
    <col min="15880" max="15880" width="11.25" style="36" bestFit="1" customWidth="1"/>
    <col min="15881" max="15881" width="2" style="36" customWidth="1"/>
    <col min="15882" max="15884" width="1.75" style="36" customWidth="1"/>
    <col min="15885" max="15885" width="3.125" style="36" customWidth="1"/>
    <col min="15886" max="15886" width="3.25" style="36" customWidth="1"/>
    <col min="15887" max="15887" width="2" style="36" customWidth="1"/>
    <col min="15888" max="15888" width="4.5" style="36" customWidth="1"/>
    <col min="15889" max="15889" width="6.125" style="36" customWidth="1"/>
    <col min="15890" max="15890" width="11.125" style="36" customWidth="1"/>
    <col min="15891" max="15891" width="3.875" style="36" customWidth="1"/>
    <col min="15892" max="15892" width="6.25" style="36" customWidth="1"/>
    <col min="15893" max="15893" width="3.875" style="36" customWidth="1"/>
    <col min="15894" max="15894" width="5.25" style="36" bestFit="1" customWidth="1"/>
    <col min="15895" max="15895" width="25.25" style="36" customWidth="1"/>
    <col min="15896" max="15896" width="12.625" style="36" customWidth="1"/>
    <col min="15897" max="15897" width="0" style="36" hidden="1" customWidth="1"/>
    <col min="15898" max="16130" width="9" style="36"/>
    <col min="16131" max="16131" width="8.375" style="36" customWidth="1"/>
    <col min="16132" max="16132" width="9" style="36" customWidth="1"/>
    <col min="16133" max="16133" width="10.75" style="36" customWidth="1"/>
    <col min="16134" max="16134" width="11" style="36" customWidth="1"/>
    <col min="16135" max="16135" width="10.5" style="36" customWidth="1"/>
    <col min="16136" max="16136" width="11.25" style="36" bestFit="1" customWidth="1"/>
    <col min="16137" max="16137" width="2" style="36" customWidth="1"/>
    <col min="16138" max="16140" width="1.75" style="36" customWidth="1"/>
    <col min="16141" max="16141" width="3.125" style="36" customWidth="1"/>
    <col min="16142" max="16142" width="3.25" style="36" customWidth="1"/>
    <col min="16143" max="16143" width="2" style="36" customWidth="1"/>
    <col min="16144" max="16144" width="4.5" style="36" customWidth="1"/>
    <col min="16145" max="16145" width="6.125" style="36" customWidth="1"/>
    <col min="16146" max="16146" width="11.125" style="36" customWidth="1"/>
    <col min="16147" max="16147" width="3.875" style="36" customWidth="1"/>
    <col min="16148" max="16148" width="6.25" style="36" customWidth="1"/>
    <col min="16149" max="16149" width="3.875" style="36" customWidth="1"/>
    <col min="16150" max="16150" width="5.25" style="36" bestFit="1" customWidth="1"/>
    <col min="16151" max="16151" width="25.25" style="36" customWidth="1"/>
    <col min="16152" max="16152" width="12.625" style="36" customWidth="1"/>
    <col min="16153" max="16153" width="0" style="36" hidden="1" customWidth="1"/>
    <col min="16154" max="16382" width="9" style="36"/>
    <col min="16383" max="16384" width="9" style="36" customWidth="1"/>
  </cols>
  <sheetData>
    <row r="1" spans="1:37" ht="24" customHeight="1">
      <c r="A1" s="940" t="s">
        <v>241</v>
      </c>
      <c r="B1" s="940"/>
      <c r="C1" s="940"/>
      <c r="D1" s="940"/>
      <c r="E1" s="940"/>
      <c r="F1" s="940"/>
      <c r="G1" s="940"/>
      <c r="H1" s="940"/>
      <c r="I1" s="940"/>
      <c r="J1" s="940"/>
      <c r="K1" s="940"/>
      <c r="L1" s="940"/>
      <c r="M1" s="940"/>
      <c r="N1" s="940"/>
      <c r="O1" s="940"/>
      <c r="P1" s="940"/>
      <c r="Q1" s="940"/>
      <c r="R1" s="940"/>
      <c r="S1" s="940"/>
      <c r="T1" s="940" t="s">
        <v>9</v>
      </c>
      <c r="U1" s="940"/>
      <c r="V1" s="940"/>
      <c r="W1" s="940"/>
      <c r="X1" s="940"/>
      <c r="Z1" s="1028" t="s">
        <v>247</v>
      </c>
      <c r="AA1" s="1028"/>
      <c r="AB1" s="259" t="s">
        <v>249</v>
      </c>
      <c r="AC1" s="259" t="s">
        <v>248</v>
      </c>
      <c r="AD1" s="1030" t="s">
        <v>247</v>
      </c>
      <c r="AE1" s="1030"/>
      <c r="AF1" s="271" t="s">
        <v>249</v>
      </c>
      <c r="AG1" s="271" t="s">
        <v>248</v>
      </c>
      <c r="AH1" s="1028" t="s">
        <v>247</v>
      </c>
      <c r="AI1" s="1028"/>
      <c r="AJ1" s="259" t="s">
        <v>249</v>
      </c>
      <c r="AK1" s="259" t="s">
        <v>248</v>
      </c>
    </row>
    <row r="2" spans="1:37" ht="15.75" customHeight="1">
      <c r="A2" s="37"/>
      <c r="B2" s="37" t="s">
        <v>75</v>
      </c>
      <c r="C2" s="37"/>
      <c r="D2" s="38"/>
      <c r="E2" s="37"/>
      <c r="F2" s="62"/>
      <c r="G2" s="62"/>
      <c r="H2" s="1049"/>
      <c r="I2" s="1049"/>
      <c r="J2" s="1049"/>
      <c r="K2" s="1049"/>
      <c r="L2" s="1049"/>
      <c r="M2" s="1049"/>
      <c r="N2" s="1049"/>
      <c r="O2" s="1049"/>
      <c r="P2" s="1049"/>
      <c r="Q2" s="1049"/>
      <c r="R2" s="1049"/>
      <c r="S2" s="1049"/>
      <c r="T2" s="1049"/>
      <c r="U2" s="1049"/>
      <c r="V2" s="1049"/>
      <c r="W2" s="1049"/>
      <c r="X2" s="1049"/>
      <c r="Z2" s="258" t="s">
        <v>246</v>
      </c>
      <c r="AA2" s="258" t="e">
        <f>SUMIF(#REF!,Z2,X:X)</f>
        <v>#REF!</v>
      </c>
      <c r="AB2" s="258">
        <v>403080000</v>
      </c>
      <c r="AC2" s="258" t="e">
        <f>AB2-AA2</f>
        <v>#REF!</v>
      </c>
      <c r="AD2" s="264" t="s">
        <v>207</v>
      </c>
      <c r="AE2" s="258" t="e">
        <f>SUMIF(#REF!,AD2,X:X)</f>
        <v>#REF!</v>
      </c>
      <c r="AF2" s="258">
        <v>34023000</v>
      </c>
      <c r="AG2" s="258" t="e">
        <f>AF2-AE2</f>
        <v>#REF!</v>
      </c>
      <c r="AH2" s="268" t="s">
        <v>238</v>
      </c>
      <c r="AI2" s="258" t="e">
        <f>SUMIF(#REF!,AH2,X:X)</f>
        <v>#REF!</v>
      </c>
      <c r="AJ2" s="258">
        <v>1583535</v>
      </c>
      <c r="AK2" s="258" t="e">
        <f>AJ2-AI2</f>
        <v>#REF!</v>
      </c>
    </row>
    <row r="3" spans="1:37" ht="15" customHeight="1" thickBot="1">
      <c r="A3" s="1100" t="s">
        <v>138</v>
      </c>
      <c r="B3" s="1100"/>
      <c r="C3" s="1100"/>
      <c r="D3" s="38"/>
      <c r="E3" s="39"/>
      <c r="F3" s="38"/>
      <c r="G3" s="62"/>
      <c r="H3" s="1101" t="s">
        <v>136</v>
      </c>
      <c r="I3" s="1101"/>
      <c r="J3" s="1101"/>
      <c r="K3" s="1101"/>
      <c r="L3" s="1101"/>
      <c r="M3" s="1101"/>
      <c r="N3" s="1101"/>
      <c r="O3" s="1101"/>
      <c r="P3" s="1101"/>
      <c r="Q3" s="1101"/>
      <c r="R3" s="1101"/>
      <c r="S3" s="1101"/>
      <c r="T3" s="1101"/>
      <c r="U3" s="1101"/>
      <c r="V3" s="1101"/>
      <c r="W3" s="1101"/>
      <c r="X3" s="1101"/>
      <c r="Z3" s="260" t="s">
        <v>146</v>
      </c>
      <c r="AA3" s="258" t="e">
        <f>SUMIF(#REF!,Z3,X:X)</f>
        <v>#REF!</v>
      </c>
      <c r="AB3" s="258">
        <v>133850000</v>
      </c>
      <c r="AC3" s="258" t="e">
        <f>AB3-AA3</f>
        <v>#REF!</v>
      </c>
      <c r="AD3" s="265" t="s">
        <v>132</v>
      </c>
      <c r="AE3" s="258" t="e">
        <f>SUMIF(#REF!,AD3,X:X)</f>
        <v>#REF!</v>
      </c>
      <c r="AF3" s="258">
        <v>53454000</v>
      </c>
      <c r="AG3" s="258" t="e">
        <f>AF3-AE3</f>
        <v>#REF!</v>
      </c>
      <c r="AH3" s="266" t="s">
        <v>157</v>
      </c>
      <c r="AI3" s="258" t="e">
        <f>SUMIF(#REF!,AH3,X:X)</f>
        <v>#REF!</v>
      </c>
      <c r="AJ3" s="258">
        <v>1000000</v>
      </c>
      <c r="AK3" s="258" t="e">
        <f>AF5-AE5</f>
        <v>#REF!</v>
      </c>
    </row>
    <row r="4" spans="1:37" s="19" customFormat="1" ht="18.75" customHeight="1">
      <c r="A4" s="1114" t="s">
        <v>25</v>
      </c>
      <c r="B4" s="1115"/>
      <c r="C4" s="1116"/>
      <c r="D4" s="774" t="s">
        <v>365</v>
      </c>
      <c r="E4" s="774" t="s">
        <v>364</v>
      </c>
      <c r="F4" s="1121" t="s">
        <v>27</v>
      </c>
      <c r="G4" s="1123" t="s">
        <v>201</v>
      </c>
      <c r="H4" s="1102" t="s">
        <v>11</v>
      </c>
      <c r="I4" s="1103"/>
      <c r="J4" s="1103"/>
      <c r="K4" s="1103"/>
      <c r="L4" s="1103"/>
      <c r="M4" s="1103"/>
      <c r="N4" s="1103"/>
      <c r="O4" s="1103"/>
      <c r="P4" s="1103"/>
      <c r="Q4" s="1103"/>
      <c r="R4" s="1103"/>
      <c r="S4" s="1103"/>
      <c r="T4" s="1103"/>
      <c r="U4" s="1103"/>
      <c r="V4" s="1102"/>
      <c r="W4" s="1103"/>
      <c r="X4" s="1104"/>
      <c r="Z4" s="261" t="s">
        <v>37</v>
      </c>
      <c r="AA4" s="258" t="e">
        <f>SUMIF(#REF!,Z4,X:X)</f>
        <v>#REF!</v>
      </c>
      <c r="AB4" s="258">
        <v>15500000</v>
      </c>
      <c r="AC4" s="258" t="e">
        <f>AB4-AA4</f>
        <v>#REF!</v>
      </c>
      <c r="AD4" s="265" t="s">
        <v>12</v>
      </c>
      <c r="AE4" s="258" t="e">
        <f>SUMIF(#REF!,AD4,X:X)</f>
        <v>#REF!</v>
      </c>
      <c r="AF4" s="258">
        <v>11202849</v>
      </c>
      <c r="AG4" s="258" t="e">
        <f>AF4-AE4</f>
        <v>#REF!</v>
      </c>
      <c r="AH4" s="270" t="s">
        <v>237</v>
      </c>
      <c r="AI4" s="258" t="e">
        <f>SUMIF(#REF!,AH4,X:X)</f>
        <v>#REF!</v>
      </c>
      <c r="AJ4" s="258">
        <v>9484462</v>
      </c>
      <c r="AK4" s="258" t="e">
        <f>AJ4-AI4</f>
        <v>#REF!</v>
      </c>
    </row>
    <row r="5" spans="1:37" s="19" customFormat="1" ht="27" customHeight="1">
      <c r="A5" s="59" t="s">
        <v>62</v>
      </c>
      <c r="B5" s="60" t="s">
        <v>53</v>
      </c>
      <c r="C5" s="61" t="s">
        <v>54</v>
      </c>
      <c r="D5" s="775"/>
      <c r="E5" s="775"/>
      <c r="F5" s="1122"/>
      <c r="G5" s="782"/>
      <c r="H5" s="1117" t="s">
        <v>50</v>
      </c>
      <c r="I5" s="1118"/>
      <c r="J5" s="1118"/>
      <c r="K5" s="1118"/>
      <c r="L5" s="1119"/>
      <c r="M5" s="1120" t="s">
        <v>51</v>
      </c>
      <c r="N5" s="1120"/>
      <c r="O5" s="1120"/>
      <c r="P5" s="1120"/>
      <c r="Q5" s="1120"/>
      <c r="R5" s="1120" t="s">
        <v>61</v>
      </c>
      <c r="S5" s="1120"/>
      <c r="T5" s="1120"/>
      <c r="U5" s="1120"/>
      <c r="V5" s="434" t="s">
        <v>121</v>
      </c>
      <c r="W5" s="434" t="s">
        <v>60</v>
      </c>
      <c r="X5" s="368" t="s">
        <v>168</v>
      </c>
      <c r="Z5" s="262" t="s">
        <v>16</v>
      </c>
      <c r="AA5" s="258" t="e">
        <f>SUMIF(#REF!,Z5,X:X)</f>
        <v>#REF!</v>
      </c>
      <c r="AB5" s="258">
        <v>37017000</v>
      </c>
      <c r="AC5" s="258" t="e">
        <f>AB5-AA5</f>
        <v>#REF!</v>
      </c>
      <c r="AD5" s="269" t="s">
        <v>135</v>
      </c>
      <c r="AE5" s="258" t="e">
        <f>SUMIF(#REF!,AD5,X:X)</f>
        <v>#REF!</v>
      </c>
      <c r="AF5" s="258">
        <v>42000000</v>
      </c>
      <c r="AG5" s="258" t="e">
        <f>AJ3-AI3</f>
        <v>#REF!</v>
      </c>
      <c r="AH5" s="267" t="s">
        <v>250</v>
      </c>
      <c r="AI5" s="258" t="e">
        <f>SUMIF(#REF!,AH5,X:X)</f>
        <v>#REF!</v>
      </c>
      <c r="AJ5" s="258">
        <v>19500000</v>
      </c>
      <c r="AK5" s="258" t="e">
        <f>AF6-AE6</f>
        <v>#REF!</v>
      </c>
    </row>
    <row r="6" spans="1:37" s="19" customFormat="1" ht="27" customHeight="1">
      <c r="A6" s="1106" t="s">
        <v>128</v>
      </c>
      <c r="B6" s="1107"/>
      <c r="C6" s="1108"/>
      <c r="D6" s="54">
        <f>D7+D199+D210+D284+D287</f>
        <v>1044974.2050000002</v>
      </c>
      <c r="E6" s="54">
        <f>E7+E199+E210+E284+E287</f>
        <v>1021861.7000000001</v>
      </c>
      <c r="F6" s="54">
        <f>E6-D6</f>
        <v>-23112.505000000121</v>
      </c>
      <c r="G6" s="240">
        <f>E6/D6</f>
        <v>0.9778822243750982</v>
      </c>
      <c r="H6" s="1109">
        <f>SUM(H7,H199,H210,H287)-1</f>
        <v>1021863.2799999999</v>
      </c>
      <c r="I6" s="1110"/>
      <c r="J6" s="1110"/>
      <c r="K6" s="1110"/>
      <c r="L6" s="1111"/>
      <c r="M6" s="1112">
        <f>SUM(M7,M210,M199,M284,Q287)-1</f>
        <v>443521.2475</v>
      </c>
      <c r="N6" s="1112"/>
      <c r="O6" s="1112"/>
      <c r="P6" s="1112"/>
      <c r="Q6" s="1112"/>
      <c r="R6" s="1112">
        <f>R7+R210+R199+R284+R287</f>
        <v>410619.36350000004</v>
      </c>
      <c r="S6" s="1112"/>
      <c r="T6" s="1112"/>
      <c r="U6" s="1112"/>
      <c r="V6" s="435">
        <f>V7+V199+V210+V284</f>
        <v>6000</v>
      </c>
      <c r="W6" s="435">
        <f>W7+W210+W287</f>
        <v>83781</v>
      </c>
      <c r="X6" s="369">
        <f>X7+X210+X199+X287</f>
        <v>77941.669000000009</v>
      </c>
      <c r="Z6" s="263" t="s">
        <v>185</v>
      </c>
      <c r="AA6" s="258" t="e">
        <f>SUMIF(#REF!,Z6,X:X)</f>
        <v>#REF!</v>
      </c>
      <c r="AB6" s="258">
        <v>43750000</v>
      </c>
      <c r="AC6" s="258" t="e">
        <f>AB6-AA6</f>
        <v>#REF!</v>
      </c>
      <c r="AD6" s="269" t="s">
        <v>235</v>
      </c>
      <c r="AE6" s="258" t="e">
        <f>SUMIF(#REF!,AD6,X:X)</f>
        <v>#REF!</v>
      </c>
      <c r="AF6" s="258">
        <v>5000000</v>
      </c>
      <c r="AG6" s="258" t="e">
        <f>AJ5-AI5</f>
        <v>#REF!</v>
      </c>
      <c r="AH6" s="268" t="s">
        <v>243</v>
      </c>
      <c r="AI6" s="258" t="e">
        <f>SUMIF(#REF!,AH6,X:X)</f>
        <v>#REF!</v>
      </c>
      <c r="AJ6" s="258">
        <v>5542353</v>
      </c>
      <c r="AK6" s="258" t="e">
        <f>AJ6-AI6</f>
        <v>#REF!</v>
      </c>
    </row>
    <row r="7" spans="1:37" s="19" customFormat="1" ht="15" customHeight="1">
      <c r="A7" s="24" t="s">
        <v>71</v>
      </c>
      <c r="B7" s="25"/>
      <c r="C7" s="25" t="s">
        <v>50</v>
      </c>
      <c r="D7" s="44">
        <f>D8+D137+D125</f>
        <v>673986.43700000015</v>
      </c>
      <c r="E7" s="44">
        <f>E8+E137+E125</f>
        <v>666221.71200000006</v>
      </c>
      <c r="F7" s="44">
        <f>F8+F137+F125</f>
        <v>-7764.7249999999967</v>
      </c>
      <c r="G7" s="241">
        <f>E7/D7</f>
        <v>0.98847940466790118</v>
      </c>
      <c r="H7" s="1113">
        <f>SUM(M7:X7)</f>
        <v>666222.83499999996</v>
      </c>
      <c r="I7" s="1113"/>
      <c r="J7" s="1113"/>
      <c r="K7" s="1113"/>
      <c r="L7" s="1113"/>
      <c r="M7" s="1113">
        <f>M8+M137+M125</f>
        <v>329224.3</v>
      </c>
      <c r="N7" s="1113"/>
      <c r="O7" s="1113"/>
      <c r="P7" s="1113"/>
      <c r="Q7" s="1113"/>
      <c r="R7" s="1113">
        <f>R8+R137+R125</f>
        <v>304023.41600000003</v>
      </c>
      <c r="S7" s="1113"/>
      <c r="T7" s="1113"/>
      <c r="U7" s="1113"/>
      <c r="V7" s="436">
        <f>V8+V125+V137</f>
        <v>0</v>
      </c>
      <c r="W7" s="436">
        <f>W8+W125+W137</f>
        <v>0</v>
      </c>
      <c r="X7" s="370">
        <f>X8+X125+X137</f>
        <v>32975.118999999999</v>
      </c>
      <c r="Z7" s="19" t="s">
        <v>258</v>
      </c>
      <c r="AA7" s="19" t="e">
        <f>SUMIF(#REF!,Z7,X:X)</f>
        <v>#REF!</v>
      </c>
    </row>
    <row r="8" spans="1:37" s="19" customFormat="1" ht="15" customHeight="1">
      <c r="A8" s="28"/>
      <c r="B8" s="296" t="s">
        <v>74</v>
      </c>
      <c r="C8" s="45" t="s">
        <v>127</v>
      </c>
      <c r="D8" s="46">
        <f>SUM(D9:D114,D117)</f>
        <v>602430.45600000012</v>
      </c>
      <c r="E8" s="46">
        <f>SUM(E9:E124)</f>
        <v>588207.22400000005</v>
      </c>
      <c r="F8" s="46">
        <f>SUM(F9:F123)</f>
        <v>-14223.231999999993</v>
      </c>
      <c r="G8" s="242">
        <f>E8/D8</f>
        <v>0.97639025076115993</v>
      </c>
      <c r="H8" s="1077">
        <f>SUM(M8:X8)</f>
        <v>588207.83499999996</v>
      </c>
      <c r="I8" s="1077"/>
      <c r="J8" s="1077"/>
      <c r="K8" s="1077"/>
      <c r="L8" s="1077"/>
      <c r="M8" s="1077">
        <f>(ROUND((SUM(X11:X26,X28,X33,X36,X40,X46,X59,X65,X67,X70,X76,X79,X81,X83,X100:X101,X103:X106,X109:X110,X112:X115))/1000,0))/2+((X116+X107+X89+X72+X42+X85+X97)/1000)</f>
        <v>305106.3</v>
      </c>
      <c r="N8" s="1077"/>
      <c r="O8" s="1077"/>
      <c r="P8" s="1077"/>
      <c r="Q8" s="1077"/>
      <c r="R8" s="1105">
        <f>(ROUNDUP((SUM(X11:X26,X28,X33,X36,X40,X46,X59,X65,X67,X70,X76,X79,X81,X83,X100,X101,X103,X104,X105,X109,X110,X112,X113,X114,X115,X106))/1000,0))/2+((X123+X111+X102+X92+X27)/1000)</f>
        <v>282532.41600000003</v>
      </c>
      <c r="S8" s="1105"/>
      <c r="T8" s="1105"/>
      <c r="U8" s="1105"/>
      <c r="V8" s="437"/>
      <c r="W8" s="437"/>
      <c r="X8" s="371">
        <f>(X124+X66+X98)/1000</f>
        <v>569.11900000000003</v>
      </c>
    </row>
    <row r="9" spans="1:37" s="19" customFormat="1" ht="15" customHeight="1">
      <c r="A9" s="28"/>
      <c r="B9" s="297"/>
      <c r="C9" s="1046" t="s">
        <v>72</v>
      </c>
      <c r="D9" s="1024">
        <f>447092110/1000</f>
        <v>447092.11</v>
      </c>
      <c r="E9" s="1043">
        <f>+X9/1000</f>
        <v>442058.55</v>
      </c>
      <c r="F9" s="1043">
        <f>+E9-D9</f>
        <v>-5033.5599999999977</v>
      </c>
      <c r="G9" s="1056">
        <f>E9/D9</f>
        <v>0.9887415593176091</v>
      </c>
      <c r="H9" s="438"/>
      <c r="I9" s="439" t="s">
        <v>63</v>
      </c>
      <c r="J9" s="439"/>
      <c r="K9" s="439"/>
      <c r="L9" s="439"/>
      <c r="M9" s="439"/>
      <c r="N9" s="439"/>
      <c r="O9" s="440"/>
      <c r="P9" s="440"/>
      <c r="Q9" s="441"/>
      <c r="R9" s="441"/>
      <c r="S9" s="442"/>
      <c r="T9" s="443"/>
      <c r="U9" s="444"/>
      <c r="V9" s="444"/>
      <c r="W9" s="444" t="s">
        <v>50</v>
      </c>
      <c r="X9" s="372">
        <f>SUM(X10,X28,X33,X36,X40,X42)</f>
        <v>442058550</v>
      </c>
    </row>
    <row r="10" spans="1:37" s="19" customFormat="1" ht="15" customHeight="1">
      <c r="A10" s="28"/>
      <c r="B10" s="297"/>
      <c r="C10" s="1047"/>
      <c r="D10" s="1025"/>
      <c r="E10" s="1044"/>
      <c r="F10" s="1044"/>
      <c r="G10" s="1058"/>
      <c r="H10" s="445"/>
      <c r="I10" s="744" t="s">
        <v>173</v>
      </c>
      <c r="J10" s="453"/>
      <c r="K10" s="453"/>
      <c r="L10" s="453"/>
      <c r="M10" s="453"/>
      <c r="N10" s="453"/>
      <c r="O10" s="484"/>
      <c r="P10" s="484"/>
      <c r="Q10" s="411"/>
      <c r="R10" s="411"/>
      <c r="S10" s="608"/>
      <c r="T10" s="486"/>
      <c r="U10" s="735"/>
      <c r="V10" s="735"/>
      <c r="W10" s="735"/>
      <c r="X10" s="374">
        <f>SUM(X11:X27)</f>
        <v>280857070</v>
      </c>
    </row>
    <row r="11" spans="1:37" s="19" customFormat="1" ht="15" hidden="1" customHeight="1">
      <c r="A11" s="28"/>
      <c r="B11" s="297"/>
      <c r="C11" s="1046"/>
      <c r="D11" s="1024"/>
      <c r="E11" s="1043"/>
      <c r="F11" s="1043"/>
      <c r="G11" s="1058"/>
      <c r="H11" s="445"/>
      <c r="I11" s="450" t="s">
        <v>292</v>
      </c>
      <c r="J11" s="453"/>
      <c r="K11" s="453"/>
      <c r="L11" s="453"/>
      <c r="M11" s="453"/>
      <c r="N11" s="453"/>
      <c r="O11" s="484"/>
      <c r="P11" s="484"/>
      <c r="Q11" s="451">
        <v>4320260</v>
      </c>
      <c r="R11" s="451" t="s">
        <v>56</v>
      </c>
      <c r="S11" s="452">
        <v>10</v>
      </c>
      <c r="T11" s="486" t="s">
        <v>52</v>
      </c>
      <c r="U11" s="735"/>
      <c r="V11" s="735"/>
      <c r="W11" s="735"/>
      <c r="X11" s="374">
        <f>Q11*S11</f>
        <v>43202600</v>
      </c>
    </row>
    <row r="12" spans="1:37" s="19" customFormat="1" ht="15" hidden="1" customHeight="1">
      <c r="A12" s="28"/>
      <c r="B12" s="297"/>
      <c r="C12" s="1047"/>
      <c r="D12" s="1025"/>
      <c r="E12" s="1044"/>
      <c r="F12" s="1044"/>
      <c r="G12" s="1058"/>
      <c r="H12" s="445"/>
      <c r="I12" s="450" t="s">
        <v>293</v>
      </c>
      <c r="J12" s="453"/>
      <c r="K12" s="453"/>
      <c r="L12" s="453"/>
      <c r="M12" s="453"/>
      <c r="N12" s="453"/>
      <c r="O12" s="484"/>
      <c r="P12" s="484"/>
      <c r="Q12" s="451">
        <v>4370860</v>
      </c>
      <c r="R12" s="451" t="s">
        <v>56</v>
      </c>
      <c r="S12" s="452">
        <v>2</v>
      </c>
      <c r="T12" s="486" t="s">
        <v>52</v>
      </c>
      <c r="U12" s="735"/>
      <c r="V12" s="735"/>
      <c r="W12" s="735"/>
      <c r="X12" s="374">
        <f t="shared" ref="X12:X24" si="0">Q12*S12</f>
        <v>8741720</v>
      </c>
    </row>
    <row r="13" spans="1:37" s="19" customFormat="1" ht="15" hidden="1" customHeight="1">
      <c r="A13" s="28"/>
      <c r="B13" s="297"/>
      <c r="C13" s="1046"/>
      <c r="D13" s="1024"/>
      <c r="E13" s="1043"/>
      <c r="F13" s="1043"/>
      <c r="G13" s="1058"/>
      <c r="H13" s="445"/>
      <c r="I13" s="450" t="s">
        <v>361</v>
      </c>
      <c r="J13" s="450"/>
      <c r="K13" s="450"/>
      <c r="L13" s="450"/>
      <c r="M13" s="453"/>
      <c r="N13" s="453"/>
      <c r="O13" s="484"/>
      <c r="P13" s="484"/>
      <c r="Q13" s="451">
        <v>3414180</v>
      </c>
      <c r="R13" s="451" t="s">
        <v>56</v>
      </c>
      <c r="S13" s="452">
        <v>1</v>
      </c>
      <c r="T13" s="486" t="s">
        <v>52</v>
      </c>
      <c r="U13" s="735"/>
      <c r="V13" s="735"/>
      <c r="W13" s="735"/>
      <c r="X13" s="374">
        <f t="shared" si="0"/>
        <v>3414180</v>
      </c>
    </row>
    <row r="14" spans="1:37" s="19" customFormat="1" ht="15" hidden="1" customHeight="1">
      <c r="A14" s="28"/>
      <c r="B14" s="297"/>
      <c r="C14" s="1046"/>
      <c r="D14" s="1024"/>
      <c r="E14" s="1043"/>
      <c r="F14" s="1043"/>
      <c r="G14" s="1058"/>
      <c r="H14" s="445"/>
      <c r="I14" s="450" t="s">
        <v>294</v>
      </c>
      <c r="J14" s="450"/>
      <c r="K14" s="450"/>
      <c r="L14" s="450"/>
      <c r="M14" s="453"/>
      <c r="N14" s="453"/>
      <c r="O14" s="484"/>
      <c r="P14" s="484"/>
      <c r="Q14" s="451">
        <v>3499430</v>
      </c>
      <c r="R14" s="451" t="s">
        <v>56</v>
      </c>
      <c r="S14" s="452">
        <v>11</v>
      </c>
      <c r="T14" s="486" t="s">
        <v>52</v>
      </c>
      <c r="U14" s="735"/>
      <c r="V14" s="735"/>
      <c r="W14" s="735"/>
      <c r="X14" s="374">
        <f>Q14*S14</f>
        <v>38493730</v>
      </c>
    </row>
    <row r="15" spans="1:37" s="19" customFormat="1" ht="15" hidden="1" customHeight="1">
      <c r="A15" s="28"/>
      <c r="B15" s="297"/>
      <c r="C15" s="1046"/>
      <c r="D15" s="1024"/>
      <c r="E15" s="1043"/>
      <c r="F15" s="1043"/>
      <c r="G15" s="1058"/>
      <c r="H15" s="445"/>
      <c r="I15" s="450" t="s">
        <v>295</v>
      </c>
      <c r="J15" s="450"/>
      <c r="K15" s="450"/>
      <c r="L15" s="450"/>
      <c r="M15" s="453"/>
      <c r="N15" s="453"/>
      <c r="O15" s="484"/>
      <c r="P15" s="484"/>
      <c r="Q15" s="451">
        <v>2804850</v>
      </c>
      <c r="R15" s="451" t="s">
        <v>56</v>
      </c>
      <c r="S15" s="452">
        <v>12</v>
      </c>
      <c r="T15" s="486" t="s">
        <v>52</v>
      </c>
      <c r="U15" s="735"/>
      <c r="V15" s="735"/>
      <c r="W15" s="735"/>
      <c r="X15" s="374">
        <f t="shared" si="0"/>
        <v>33658200</v>
      </c>
    </row>
    <row r="16" spans="1:37" s="19" customFormat="1" ht="15" hidden="1" customHeight="1">
      <c r="A16" s="28"/>
      <c r="B16" s="297"/>
      <c r="C16" s="1046"/>
      <c r="D16" s="1024"/>
      <c r="E16" s="1043"/>
      <c r="F16" s="1043"/>
      <c r="G16" s="1058"/>
      <c r="H16" s="445"/>
      <c r="I16" s="450" t="s">
        <v>296</v>
      </c>
      <c r="J16" s="450"/>
      <c r="K16" s="450"/>
      <c r="L16" s="450"/>
      <c r="M16" s="453"/>
      <c r="N16" s="453"/>
      <c r="O16" s="484"/>
      <c r="P16" s="484"/>
      <c r="Q16" s="451">
        <v>2325540</v>
      </c>
      <c r="R16" s="451" t="s">
        <v>56</v>
      </c>
      <c r="S16" s="452">
        <v>1</v>
      </c>
      <c r="T16" s="486" t="s">
        <v>52</v>
      </c>
      <c r="U16" s="735"/>
      <c r="V16" s="735"/>
      <c r="W16" s="735"/>
      <c r="X16" s="374">
        <f t="shared" si="0"/>
        <v>2325540</v>
      </c>
    </row>
    <row r="17" spans="1:27" s="19" customFormat="1" ht="15" hidden="1" customHeight="1">
      <c r="A17" s="28"/>
      <c r="B17" s="297"/>
      <c r="C17" s="1046"/>
      <c r="D17" s="1024"/>
      <c r="E17" s="1043"/>
      <c r="F17" s="1043"/>
      <c r="G17" s="1058"/>
      <c r="H17" s="445"/>
      <c r="I17" s="450" t="s">
        <v>297</v>
      </c>
      <c r="J17" s="450"/>
      <c r="K17" s="450"/>
      <c r="L17" s="450"/>
      <c r="M17" s="453"/>
      <c r="N17" s="453"/>
      <c r="O17" s="484"/>
      <c r="P17" s="484"/>
      <c r="Q17" s="451">
        <v>2583020</v>
      </c>
      <c r="R17" s="451" t="s">
        <v>56</v>
      </c>
      <c r="S17" s="452">
        <v>11</v>
      </c>
      <c r="T17" s="486" t="s">
        <v>52</v>
      </c>
      <c r="U17" s="735"/>
      <c r="V17" s="735"/>
      <c r="W17" s="735"/>
      <c r="X17" s="374">
        <f t="shared" si="0"/>
        <v>28413220</v>
      </c>
    </row>
    <row r="18" spans="1:27" s="19" customFormat="1" ht="15" hidden="1" customHeight="1">
      <c r="A18" s="28"/>
      <c r="B18" s="297"/>
      <c r="C18" s="1046"/>
      <c r="D18" s="1024"/>
      <c r="E18" s="1043"/>
      <c r="F18" s="1043"/>
      <c r="G18" s="1058"/>
      <c r="H18" s="445"/>
      <c r="I18" s="450" t="s">
        <v>298</v>
      </c>
      <c r="J18" s="450"/>
      <c r="K18" s="450"/>
      <c r="L18" s="450"/>
      <c r="M18" s="453"/>
      <c r="N18" s="453"/>
      <c r="O18" s="484"/>
      <c r="P18" s="484"/>
      <c r="Q18" s="451">
        <v>2206900</v>
      </c>
      <c r="R18" s="451" t="s">
        <v>56</v>
      </c>
      <c r="S18" s="452">
        <v>6</v>
      </c>
      <c r="T18" s="486" t="s">
        <v>52</v>
      </c>
      <c r="U18" s="735"/>
      <c r="V18" s="735"/>
      <c r="W18" s="735"/>
      <c r="X18" s="374">
        <f t="shared" si="0"/>
        <v>13241400</v>
      </c>
    </row>
    <row r="19" spans="1:27" s="19" customFormat="1" ht="15" hidden="1" customHeight="1">
      <c r="A19" s="28"/>
      <c r="B19" s="297"/>
      <c r="C19" s="1046"/>
      <c r="D19" s="1024"/>
      <c r="E19" s="1043"/>
      <c r="F19" s="1043"/>
      <c r="G19" s="1058"/>
      <c r="H19" s="445"/>
      <c r="I19" s="450" t="s">
        <v>299</v>
      </c>
      <c r="J19" s="450"/>
      <c r="K19" s="450"/>
      <c r="L19" s="450"/>
      <c r="M19" s="453"/>
      <c r="N19" s="453"/>
      <c r="O19" s="484"/>
      <c r="P19" s="484"/>
      <c r="Q19" s="451">
        <v>2265300</v>
      </c>
      <c r="R19" s="451" t="s">
        <v>56</v>
      </c>
      <c r="S19" s="452">
        <v>6</v>
      </c>
      <c r="T19" s="486" t="s">
        <v>52</v>
      </c>
      <c r="U19" s="735"/>
      <c r="V19" s="735"/>
      <c r="W19" s="735"/>
      <c r="X19" s="374">
        <f t="shared" si="0"/>
        <v>13591800</v>
      </c>
    </row>
    <row r="20" spans="1:27" s="19" customFormat="1" ht="15" hidden="1" customHeight="1">
      <c r="A20" s="28"/>
      <c r="B20" s="297"/>
      <c r="C20" s="1046"/>
      <c r="D20" s="1024"/>
      <c r="E20" s="1043"/>
      <c r="F20" s="1043"/>
      <c r="G20" s="1058"/>
      <c r="H20" s="445"/>
      <c r="I20" s="450" t="s">
        <v>300</v>
      </c>
      <c r="J20" s="450"/>
      <c r="K20" s="450"/>
      <c r="L20" s="450"/>
      <c r="M20" s="453"/>
      <c r="N20" s="453"/>
      <c r="O20" s="484"/>
      <c r="P20" s="484"/>
      <c r="Q20" s="451">
        <v>2206900</v>
      </c>
      <c r="R20" s="451" t="s">
        <v>56</v>
      </c>
      <c r="S20" s="452">
        <v>9</v>
      </c>
      <c r="T20" s="486" t="s">
        <v>268</v>
      </c>
      <c r="U20" s="735"/>
      <c r="V20" s="735"/>
      <c r="W20" s="735"/>
      <c r="X20" s="374">
        <f t="shared" si="0"/>
        <v>19862100</v>
      </c>
    </row>
    <row r="21" spans="1:27" s="19" customFormat="1" ht="15" hidden="1" customHeight="1">
      <c r="A21" s="28"/>
      <c r="B21" s="321"/>
      <c r="C21" s="1046"/>
      <c r="D21" s="1024"/>
      <c r="E21" s="1043"/>
      <c r="F21" s="1043"/>
      <c r="G21" s="1058"/>
      <c r="H21" s="445"/>
      <c r="I21" s="450" t="s">
        <v>360</v>
      </c>
      <c r="J21" s="450"/>
      <c r="K21" s="450"/>
      <c r="L21" s="450"/>
      <c r="M21" s="453"/>
      <c r="N21" s="453"/>
      <c r="O21" s="484"/>
      <c r="P21" s="484"/>
      <c r="Q21" s="451">
        <v>2073500</v>
      </c>
      <c r="R21" s="451" t="s">
        <v>56</v>
      </c>
      <c r="S21" s="452">
        <v>3</v>
      </c>
      <c r="T21" s="486" t="s">
        <v>301</v>
      </c>
      <c r="U21" s="735"/>
      <c r="V21" s="735"/>
      <c r="W21" s="735"/>
      <c r="X21" s="374">
        <f t="shared" si="0"/>
        <v>6220500</v>
      </c>
    </row>
    <row r="22" spans="1:27" s="19" customFormat="1" ht="15" hidden="1" customHeight="1">
      <c r="A22" s="28"/>
      <c r="B22" s="297"/>
      <c r="C22" s="1046"/>
      <c r="D22" s="1024"/>
      <c r="E22" s="1043"/>
      <c r="F22" s="1043"/>
      <c r="G22" s="1058"/>
      <c r="H22" s="445"/>
      <c r="I22" s="450" t="s">
        <v>302</v>
      </c>
      <c r="J22" s="450"/>
      <c r="K22" s="450"/>
      <c r="L22" s="450"/>
      <c r="M22" s="453"/>
      <c r="N22" s="453"/>
      <c r="O22" s="484"/>
      <c r="P22" s="484"/>
      <c r="Q22" s="451">
        <v>2073500</v>
      </c>
      <c r="R22" s="451" t="s">
        <v>56</v>
      </c>
      <c r="S22" s="452">
        <v>10</v>
      </c>
      <c r="T22" s="486" t="s">
        <v>52</v>
      </c>
      <c r="U22" s="735"/>
      <c r="V22" s="735"/>
      <c r="W22" s="735"/>
      <c r="X22" s="374">
        <f>Q22*S22</f>
        <v>20735000</v>
      </c>
    </row>
    <row r="23" spans="1:27" s="19" customFormat="1" ht="15" hidden="1" customHeight="1">
      <c r="A23" s="28"/>
      <c r="B23" s="297"/>
      <c r="C23" s="1046"/>
      <c r="D23" s="1024"/>
      <c r="E23" s="1043"/>
      <c r="F23" s="1043"/>
      <c r="G23" s="1058"/>
      <c r="H23" s="445"/>
      <c r="I23" s="450" t="s">
        <v>359</v>
      </c>
      <c r="J23" s="453"/>
      <c r="K23" s="453"/>
      <c r="L23" s="453"/>
      <c r="M23" s="453"/>
      <c r="N23" s="453"/>
      <c r="O23" s="484"/>
      <c r="P23" s="484"/>
      <c r="Q23" s="451">
        <v>2073500</v>
      </c>
      <c r="R23" s="451" t="s">
        <v>56</v>
      </c>
      <c r="S23" s="452">
        <v>8</v>
      </c>
      <c r="T23" s="486" t="s">
        <v>52</v>
      </c>
      <c r="U23" s="735"/>
      <c r="V23" s="735"/>
      <c r="W23" s="735"/>
      <c r="X23" s="374">
        <f t="shared" si="0"/>
        <v>16588000</v>
      </c>
    </row>
    <row r="24" spans="1:27" s="19" customFormat="1" ht="15" hidden="1" customHeight="1">
      <c r="A24" s="28"/>
      <c r="B24" s="297"/>
      <c r="C24" s="1046"/>
      <c r="D24" s="1024"/>
      <c r="E24" s="1043"/>
      <c r="F24" s="1043"/>
      <c r="G24" s="1058"/>
      <c r="H24" s="445"/>
      <c r="I24" s="450"/>
      <c r="J24" s="453"/>
      <c r="K24" s="453"/>
      <c r="L24" s="453"/>
      <c r="M24" s="453"/>
      <c r="N24" s="453" t="s">
        <v>88</v>
      </c>
      <c r="O24" s="484"/>
      <c r="P24" s="484"/>
      <c r="Q24" s="451">
        <v>0</v>
      </c>
      <c r="R24" s="451" t="s">
        <v>56</v>
      </c>
      <c r="S24" s="452">
        <v>0</v>
      </c>
      <c r="T24" s="486" t="s">
        <v>52</v>
      </c>
      <c r="U24" s="735"/>
      <c r="V24" s="735"/>
      <c r="W24" s="735"/>
      <c r="X24" s="374">
        <f t="shared" si="0"/>
        <v>0</v>
      </c>
    </row>
    <row r="25" spans="1:27" s="19" customFormat="1" ht="15" hidden="1" customHeight="1">
      <c r="A25" s="28"/>
      <c r="B25" s="297"/>
      <c r="C25" s="1046"/>
      <c r="D25" s="1024"/>
      <c r="E25" s="1043"/>
      <c r="F25" s="1043"/>
      <c r="G25" s="1058"/>
      <c r="H25" s="445"/>
      <c r="I25" s="450" t="s">
        <v>212</v>
      </c>
      <c r="J25" s="453"/>
      <c r="K25" s="453"/>
      <c r="L25" s="453"/>
      <c r="M25" s="453"/>
      <c r="N25" s="453"/>
      <c r="O25" s="484"/>
      <c r="P25" s="484"/>
      <c r="Q25" s="451">
        <v>2033500</v>
      </c>
      <c r="R25" s="451" t="s">
        <v>56</v>
      </c>
      <c r="S25" s="452">
        <v>9</v>
      </c>
      <c r="T25" s="486" t="s">
        <v>52</v>
      </c>
      <c r="U25" s="735"/>
      <c r="V25" s="735"/>
      <c r="W25" s="735"/>
      <c r="X25" s="374">
        <f>Q25*S25</f>
        <v>18301500</v>
      </c>
    </row>
    <row r="26" spans="1:27" s="19" customFormat="1" ht="15" hidden="1" customHeight="1">
      <c r="A26" s="28"/>
      <c r="B26" s="297"/>
      <c r="C26" s="1046"/>
      <c r="D26" s="1024"/>
      <c r="E26" s="1043"/>
      <c r="F26" s="1043"/>
      <c r="G26" s="1058"/>
      <c r="H26" s="445"/>
      <c r="I26" s="450" t="s">
        <v>358</v>
      </c>
      <c r="J26" s="453"/>
      <c r="K26" s="453"/>
      <c r="L26" s="453"/>
      <c r="M26" s="453"/>
      <c r="N26" s="453"/>
      <c r="O26" s="484"/>
      <c r="P26" s="484"/>
      <c r="Q26" s="451">
        <v>2151100</v>
      </c>
      <c r="R26" s="451" t="s">
        <v>56</v>
      </c>
      <c r="S26" s="452">
        <v>3</v>
      </c>
      <c r="T26" s="486" t="s">
        <v>52</v>
      </c>
      <c r="U26" s="735"/>
      <c r="V26" s="735"/>
      <c r="W26" s="735"/>
      <c r="X26" s="374">
        <f>Q26*S26</f>
        <v>6453300</v>
      </c>
    </row>
    <row r="27" spans="1:27" s="19" customFormat="1" ht="15" hidden="1" customHeight="1">
      <c r="A27" s="28"/>
      <c r="B27" s="359"/>
      <c r="C27" s="1047"/>
      <c r="D27" s="1025"/>
      <c r="E27" s="1044"/>
      <c r="F27" s="1044"/>
      <c r="G27" s="1058"/>
      <c r="H27" s="445"/>
      <c r="I27" s="450" t="s">
        <v>345</v>
      </c>
      <c r="J27" s="453"/>
      <c r="K27" s="453"/>
      <c r="L27" s="453"/>
      <c r="M27" s="453"/>
      <c r="N27" s="453"/>
      <c r="O27" s="484"/>
      <c r="P27" s="484"/>
      <c r="Q27" s="451"/>
      <c r="R27" s="451"/>
      <c r="S27" s="452"/>
      <c r="T27" s="486"/>
      <c r="U27" s="735"/>
      <c r="V27" s="735"/>
      <c r="W27" s="735"/>
      <c r="X27" s="374">
        <v>7614280</v>
      </c>
    </row>
    <row r="28" spans="1:27" s="19" customFormat="1" ht="15" customHeight="1">
      <c r="A28" s="28"/>
      <c r="B28" s="297"/>
      <c r="C28" s="1047"/>
      <c r="D28" s="1025"/>
      <c r="E28" s="1044"/>
      <c r="F28" s="1044"/>
      <c r="G28" s="1058"/>
      <c r="H28" s="445"/>
      <c r="I28" s="744" t="s">
        <v>15</v>
      </c>
      <c r="J28" s="744"/>
      <c r="K28" s="744"/>
      <c r="L28" s="744"/>
      <c r="M28" s="745"/>
      <c r="N28" s="745"/>
      <c r="O28" s="746"/>
      <c r="P28" s="702"/>
      <c r="Q28" s="745"/>
      <c r="R28" s="745"/>
      <c r="S28" s="746"/>
      <c r="T28" s="705"/>
      <c r="U28" s="734"/>
      <c r="V28" s="734"/>
      <c r="W28" s="734"/>
      <c r="X28" s="747">
        <f>SUM(X29:X32)</f>
        <v>52983800</v>
      </c>
      <c r="Z28" s="1029"/>
      <c r="AA28" s="1029"/>
    </row>
    <row r="29" spans="1:27" s="19" customFormat="1" ht="15" hidden="1" customHeight="1">
      <c r="A29" s="28"/>
      <c r="B29" s="297"/>
      <c r="C29" s="1047"/>
      <c r="D29" s="1025"/>
      <c r="E29" s="1044"/>
      <c r="F29" s="1044"/>
      <c r="G29" s="1058"/>
      <c r="H29" s="445"/>
      <c r="I29" s="453" t="s">
        <v>213</v>
      </c>
      <c r="J29" s="453"/>
      <c r="K29" s="453"/>
      <c r="L29" s="453"/>
      <c r="M29" s="453"/>
      <c r="N29" s="453"/>
      <c r="O29" s="484"/>
      <c r="P29" s="484"/>
      <c r="Q29" s="451">
        <v>2206900</v>
      </c>
      <c r="R29" s="451" t="s">
        <v>56</v>
      </c>
      <c r="S29" s="452">
        <v>5</v>
      </c>
      <c r="T29" s="486" t="s">
        <v>52</v>
      </c>
      <c r="U29" s="735"/>
      <c r="V29" s="735"/>
      <c r="W29" s="735"/>
      <c r="X29" s="374">
        <f>Q29*S29</f>
        <v>11034500</v>
      </c>
      <c r="Z29" s="22"/>
      <c r="AA29" s="257"/>
    </row>
    <row r="30" spans="1:27" s="19" customFormat="1" ht="15" hidden="1" customHeight="1">
      <c r="A30" s="28"/>
      <c r="B30" s="297"/>
      <c r="C30" s="1047"/>
      <c r="D30" s="1025"/>
      <c r="E30" s="1044"/>
      <c r="F30" s="1044"/>
      <c r="G30" s="1058"/>
      <c r="H30" s="445"/>
      <c r="I30" s="484"/>
      <c r="J30" s="450" t="s">
        <v>214</v>
      </c>
      <c r="K30" s="453"/>
      <c r="L30" s="453"/>
      <c r="M30" s="453"/>
      <c r="N30" s="453"/>
      <c r="O30" s="484"/>
      <c r="P30" s="484"/>
      <c r="Q30" s="451">
        <v>2265300</v>
      </c>
      <c r="R30" s="451" t="s">
        <v>56</v>
      </c>
      <c r="S30" s="452">
        <v>7</v>
      </c>
      <c r="T30" s="486" t="s">
        <v>52</v>
      </c>
      <c r="U30" s="735"/>
      <c r="V30" s="735"/>
      <c r="W30" s="735"/>
      <c r="X30" s="374">
        <f>Q30*S30</f>
        <v>15857100</v>
      </c>
      <c r="Z30" s="22"/>
      <c r="AA30" s="257"/>
    </row>
    <row r="31" spans="1:27" s="19" customFormat="1" ht="15" hidden="1" customHeight="1">
      <c r="A31" s="28"/>
      <c r="B31" s="297"/>
      <c r="C31" s="1047"/>
      <c r="D31" s="1025"/>
      <c r="E31" s="1044"/>
      <c r="F31" s="1044"/>
      <c r="G31" s="1058"/>
      <c r="H31" s="445"/>
      <c r="I31" s="453" t="s">
        <v>215</v>
      </c>
      <c r="J31" s="453"/>
      <c r="K31" s="453"/>
      <c r="L31" s="453"/>
      <c r="M31" s="453"/>
      <c r="N31" s="453"/>
      <c r="O31" s="484"/>
      <c r="P31" s="484"/>
      <c r="Q31" s="451">
        <v>2151100</v>
      </c>
      <c r="R31" s="451" t="s">
        <v>56</v>
      </c>
      <c r="S31" s="452">
        <v>7</v>
      </c>
      <c r="T31" s="486" t="s">
        <v>52</v>
      </c>
      <c r="U31" s="735"/>
      <c r="V31" s="735"/>
      <c r="W31" s="735"/>
      <c r="X31" s="374">
        <f>Q31*S31</f>
        <v>15057700</v>
      </c>
      <c r="Z31" s="22"/>
      <c r="AA31" s="257"/>
    </row>
    <row r="32" spans="1:27" s="19" customFormat="1" ht="15" hidden="1" customHeight="1">
      <c r="A32" s="28"/>
      <c r="B32" s="297"/>
      <c r="C32" s="1047"/>
      <c r="D32" s="1025"/>
      <c r="E32" s="1044"/>
      <c r="F32" s="1044"/>
      <c r="G32" s="1058"/>
      <c r="H32" s="445"/>
      <c r="I32" s="453"/>
      <c r="J32" s="450" t="s">
        <v>216</v>
      </c>
      <c r="K32" s="731"/>
      <c r="L32" s="731"/>
      <c r="M32" s="731"/>
      <c r="N32" s="731"/>
      <c r="O32" s="594"/>
      <c r="P32" s="594"/>
      <c r="Q32" s="451">
        <v>2206900</v>
      </c>
      <c r="R32" s="729" t="s">
        <v>56</v>
      </c>
      <c r="S32" s="730">
        <v>5</v>
      </c>
      <c r="T32" s="732" t="s">
        <v>52</v>
      </c>
      <c r="U32" s="748"/>
      <c r="V32" s="748"/>
      <c r="W32" s="748"/>
      <c r="X32" s="397">
        <f>Q32*S32</f>
        <v>11034500</v>
      </c>
      <c r="Z32" s="22"/>
      <c r="AA32" s="257"/>
    </row>
    <row r="33" spans="1:27" s="19" customFormat="1" ht="14.25" customHeight="1">
      <c r="A33" s="28"/>
      <c r="B33" s="297"/>
      <c r="C33" s="1047"/>
      <c r="D33" s="1025"/>
      <c r="E33" s="1044"/>
      <c r="F33" s="1044"/>
      <c r="G33" s="1058"/>
      <c r="H33" s="445"/>
      <c r="I33" s="744" t="s">
        <v>29</v>
      </c>
      <c r="J33" s="742"/>
      <c r="K33" s="742"/>
      <c r="L33" s="742"/>
      <c r="M33" s="742"/>
      <c r="N33" s="742"/>
      <c r="O33" s="702"/>
      <c r="P33" s="702"/>
      <c r="Q33" s="745"/>
      <c r="R33" s="745"/>
      <c r="S33" s="746"/>
      <c r="T33" s="705"/>
      <c r="U33" s="734"/>
      <c r="V33" s="734"/>
      <c r="W33" s="734"/>
      <c r="X33" s="747">
        <f>SUM(X34:X35)</f>
        <v>37627600</v>
      </c>
      <c r="Z33" s="22"/>
      <c r="AA33" s="257"/>
    </row>
    <row r="34" spans="1:27" s="19" customFormat="1" ht="15" hidden="1" customHeight="1">
      <c r="A34" s="28"/>
      <c r="B34" s="297"/>
      <c r="C34" s="1047"/>
      <c r="D34" s="1025"/>
      <c r="E34" s="1044"/>
      <c r="F34" s="1044"/>
      <c r="G34" s="1058"/>
      <c r="H34" s="445"/>
      <c r="I34" s="453" t="s">
        <v>217</v>
      </c>
      <c r="J34" s="453"/>
      <c r="K34" s="453"/>
      <c r="L34" s="453"/>
      <c r="M34" s="453"/>
      <c r="N34" s="453"/>
      <c r="O34" s="484"/>
      <c r="P34" s="484"/>
      <c r="Q34" s="451">
        <v>2265300</v>
      </c>
      <c r="R34" s="451" t="s">
        <v>56</v>
      </c>
      <c r="S34" s="452">
        <v>12</v>
      </c>
      <c r="T34" s="486" t="s">
        <v>52</v>
      </c>
      <c r="U34" s="735"/>
      <c r="V34" s="735"/>
      <c r="W34" s="735"/>
      <c r="X34" s="374">
        <f>Q34*S34</f>
        <v>27183600</v>
      </c>
      <c r="Z34" s="22"/>
      <c r="AA34" s="257"/>
    </row>
    <row r="35" spans="1:27" s="19" customFormat="1" ht="15" hidden="1" customHeight="1">
      <c r="A35" s="28"/>
      <c r="B35" s="297"/>
      <c r="C35" s="1047"/>
      <c r="D35" s="1025"/>
      <c r="E35" s="1044"/>
      <c r="F35" s="1044"/>
      <c r="G35" s="1058"/>
      <c r="H35" s="445"/>
      <c r="I35" s="654" t="s">
        <v>159</v>
      </c>
      <c r="J35" s="731"/>
      <c r="K35" s="731"/>
      <c r="L35" s="731"/>
      <c r="M35" s="594"/>
      <c r="N35" s="594"/>
      <c r="O35" s="594"/>
      <c r="P35" s="594"/>
      <c r="Q35" s="729">
        <v>1044400</v>
      </c>
      <c r="R35" s="729" t="s">
        <v>56</v>
      </c>
      <c r="S35" s="730">
        <v>10</v>
      </c>
      <c r="T35" s="732" t="s">
        <v>52</v>
      </c>
      <c r="U35" s="733"/>
      <c r="V35" s="733"/>
      <c r="W35" s="733"/>
      <c r="X35" s="397">
        <f>Q35*S35</f>
        <v>10444000</v>
      </c>
      <c r="Z35" s="22"/>
      <c r="AA35" s="257"/>
    </row>
    <row r="36" spans="1:27" s="19" customFormat="1" ht="15" customHeight="1">
      <c r="A36" s="28"/>
      <c r="B36" s="297"/>
      <c r="C36" s="1047"/>
      <c r="D36" s="1025"/>
      <c r="E36" s="1044"/>
      <c r="F36" s="1044"/>
      <c r="G36" s="1058"/>
      <c r="H36" s="445"/>
      <c r="I36" s="744" t="s">
        <v>236</v>
      </c>
      <c r="J36" s="744"/>
      <c r="K36" s="744"/>
      <c r="L36" s="742"/>
      <c r="M36" s="742"/>
      <c r="N36" s="742"/>
      <c r="O36" s="702"/>
      <c r="P36" s="702"/>
      <c r="Q36" s="745"/>
      <c r="R36" s="745"/>
      <c r="S36" s="746"/>
      <c r="T36" s="705"/>
      <c r="U36" s="734"/>
      <c r="V36" s="734"/>
      <c r="W36" s="734"/>
      <c r="X36" s="747">
        <f>SUM(X37:X39)</f>
        <v>24336280</v>
      </c>
    </row>
    <row r="37" spans="1:27" s="19" customFormat="1" ht="15" hidden="1" customHeight="1">
      <c r="A37" s="28"/>
      <c r="B37" s="297"/>
      <c r="C37" s="1046"/>
      <c r="D37" s="1024"/>
      <c r="E37" s="1043"/>
      <c r="F37" s="1043"/>
      <c r="G37" s="1058"/>
      <c r="H37" s="445"/>
      <c r="I37" s="453" t="s">
        <v>263</v>
      </c>
      <c r="J37" s="453"/>
      <c r="K37" s="450"/>
      <c r="L37" s="453"/>
      <c r="M37" s="453"/>
      <c r="N37" s="453"/>
      <c r="O37" s="484"/>
      <c r="P37" s="484"/>
      <c r="Q37" s="451">
        <v>2151100</v>
      </c>
      <c r="R37" s="451" t="s">
        <v>56</v>
      </c>
      <c r="S37" s="452">
        <v>2</v>
      </c>
      <c r="T37" s="486"/>
      <c r="U37" s="735"/>
      <c r="V37" s="735"/>
      <c r="W37" s="735"/>
      <c r="X37" s="374">
        <f>Q37*S37</f>
        <v>4302200</v>
      </c>
    </row>
    <row r="38" spans="1:27" s="19" customFormat="1" ht="15" hidden="1" customHeight="1">
      <c r="A38" s="28"/>
      <c r="B38" s="297"/>
      <c r="C38" s="1047"/>
      <c r="D38" s="1025"/>
      <c r="E38" s="1044"/>
      <c r="F38" s="1044"/>
      <c r="G38" s="1058"/>
      <c r="H38" s="445"/>
      <c r="I38" s="453"/>
      <c r="J38" s="450" t="s">
        <v>264</v>
      </c>
      <c r="K38" s="450"/>
      <c r="L38" s="453"/>
      <c r="M38" s="484"/>
      <c r="N38" s="484"/>
      <c r="O38" s="484"/>
      <c r="P38" s="484"/>
      <c r="Q38" s="451">
        <v>2206900</v>
      </c>
      <c r="R38" s="451" t="s">
        <v>266</v>
      </c>
      <c r="S38" s="452">
        <v>1</v>
      </c>
      <c r="T38" s="486"/>
      <c r="U38" s="736"/>
      <c r="V38" s="736"/>
      <c r="W38" s="736"/>
      <c r="X38" s="374">
        <f>Q38*S38</f>
        <v>2206900</v>
      </c>
    </row>
    <row r="39" spans="1:27" s="19" customFormat="1" ht="15" hidden="1" customHeight="1">
      <c r="A39" s="28"/>
      <c r="B39" s="297"/>
      <c r="C39" s="297"/>
      <c r="D39" s="294"/>
      <c r="E39" s="298"/>
      <c r="F39" s="298"/>
      <c r="G39" s="1058"/>
      <c r="H39" s="445"/>
      <c r="I39" s="453" t="s">
        <v>265</v>
      </c>
      <c r="J39" s="450"/>
      <c r="K39" s="450"/>
      <c r="L39" s="737"/>
      <c r="M39" s="712"/>
      <c r="N39" s="712"/>
      <c r="O39" s="712"/>
      <c r="P39" s="712"/>
      <c r="Q39" s="738">
        <v>2010580</v>
      </c>
      <c r="R39" s="738" t="s">
        <v>267</v>
      </c>
      <c r="S39" s="739">
        <v>9</v>
      </c>
      <c r="T39" s="740"/>
      <c r="U39" s="741"/>
      <c r="V39" s="741"/>
      <c r="W39" s="736"/>
      <c r="X39" s="374">
        <v>17827180</v>
      </c>
    </row>
    <row r="40" spans="1:27" s="19" customFormat="1" ht="15" customHeight="1">
      <c r="A40" s="28"/>
      <c r="B40" s="297"/>
      <c r="C40" s="297"/>
      <c r="D40" s="294"/>
      <c r="E40" s="298"/>
      <c r="F40" s="298"/>
      <c r="G40" s="1058"/>
      <c r="H40" s="445"/>
      <c r="I40" s="744" t="s">
        <v>206</v>
      </c>
      <c r="J40" s="744"/>
      <c r="K40" s="744"/>
      <c r="L40" s="742"/>
      <c r="M40" s="742"/>
      <c r="N40" s="742"/>
      <c r="O40" s="702"/>
      <c r="P40" s="702"/>
      <c r="Q40" s="745"/>
      <c r="R40" s="745"/>
      <c r="S40" s="746"/>
      <c r="T40" s="705"/>
      <c r="U40" s="734"/>
      <c r="V40" s="734"/>
      <c r="W40" s="734"/>
      <c r="X40" s="747">
        <f>SUM(X41)</f>
        <v>20105800</v>
      </c>
    </row>
    <row r="41" spans="1:27" s="19" customFormat="1" ht="15" hidden="1" customHeight="1">
      <c r="A41" s="28"/>
      <c r="B41" s="297"/>
      <c r="C41" s="297"/>
      <c r="D41" s="294"/>
      <c r="E41" s="298"/>
      <c r="F41" s="298"/>
      <c r="G41" s="1058"/>
      <c r="H41" s="445"/>
      <c r="I41" s="453" t="s">
        <v>208</v>
      </c>
      <c r="J41" s="453"/>
      <c r="K41" s="450"/>
      <c r="L41" s="453"/>
      <c r="M41" s="453"/>
      <c r="N41" s="453"/>
      <c r="O41" s="484"/>
      <c r="P41" s="484"/>
      <c r="Q41" s="451">
        <v>2010580</v>
      </c>
      <c r="R41" s="451" t="s">
        <v>56</v>
      </c>
      <c r="S41" s="452">
        <v>10</v>
      </c>
      <c r="T41" s="486"/>
      <c r="U41" s="735"/>
      <c r="V41" s="735"/>
      <c r="W41" s="735"/>
      <c r="X41" s="374">
        <f>Q41*S41</f>
        <v>20105800</v>
      </c>
    </row>
    <row r="42" spans="1:27" s="19" customFormat="1" ht="15" customHeight="1">
      <c r="A42" s="28"/>
      <c r="B42" s="297"/>
      <c r="C42" s="297"/>
      <c r="D42" s="298"/>
      <c r="E42" s="298"/>
      <c r="F42" s="298"/>
      <c r="G42" s="1058"/>
      <c r="H42" s="445"/>
      <c r="I42" s="744" t="s">
        <v>184</v>
      </c>
      <c r="J42" s="742"/>
      <c r="K42" s="742"/>
      <c r="L42" s="742"/>
      <c r="M42" s="702"/>
      <c r="N42" s="702"/>
      <c r="O42" s="702"/>
      <c r="P42" s="702"/>
      <c r="Q42" s="745"/>
      <c r="R42" s="745"/>
      <c r="S42" s="746"/>
      <c r="T42" s="705"/>
      <c r="U42" s="743"/>
      <c r="V42" s="743"/>
      <c r="W42" s="743"/>
      <c r="X42" s="747">
        <f>X44+X43</f>
        <v>26148000</v>
      </c>
    </row>
    <row r="43" spans="1:27" s="19" customFormat="1" ht="15" hidden="1" customHeight="1">
      <c r="A43" s="28"/>
      <c r="B43" s="297"/>
      <c r="C43" s="297"/>
      <c r="D43" s="298"/>
      <c r="E43" s="298"/>
      <c r="F43" s="298"/>
      <c r="G43" s="1058"/>
      <c r="H43" s="467"/>
      <c r="I43" s="468" t="s">
        <v>219</v>
      </c>
      <c r="J43" s="468"/>
      <c r="K43" s="468"/>
      <c r="L43" s="468"/>
      <c r="M43" s="469"/>
      <c r="N43" s="469"/>
      <c r="O43" s="469"/>
      <c r="P43" s="469"/>
      <c r="Q43" s="470">
        <v>2151100</v>
      </c>
      <c r="R43" s="470" t="s">
        <v>56</v>
      </c>
      <c r="S43" s="471">
        <v>6</v>
      </c>
      <c r="T43" s="472" t="s">
        <v>52</v>
      </c>
      <c r="U43" s="473"/>
      <c r="V43" s="473"/>
      <c r="W43" s="473"/>
      <c r="X43" s="379">
        <f>Q43*S43</f>
        <v>12906600</v>
      </c>
    </row>
    <row r="44" spans="1:27" s="19" customFormat="1" ht="15" hidden="1" customHeight="1">
      <c r="A44" s="28"/>
      <c r="B44" s="297"/>
      <c r="C44" s="297"/>
      <c r="D44" s="298"/>
      <c r="E44" s="298"/>
      <c r="F44" s="298"/>
      <c r="G44" s="1058"/>
      <c r="H44" s="467"/>
      <c r="I44" s="474" t="s">
        <v>220</v>
      </c>
      <c r="J44" s="474"/>
      <c r="K44" s="474"/>
      <c r="L44" s="474"/>
      <c r="M44" s="475"/>
      <c r="N44" s="475"/>
      <c r="O44" s="475"/>
      <c r="P44" s="475"/>
      <c r="Q44" s="476">
        <v>2206900</v>
      </c>
      <c r="R44" s="476" t="s">
        <v>56</v>
      </c>
      <c r="S44" s="477">
        <v>6</v>
      </c>
      <c r="T44" s="478" t="s">
        <v>52</v>
      </c>
      <c r="U44" s="479"/>
      <c r="V44" s="479"/>
      <c r="W44" s="479"/>
      <c r="X44" s="380">
        <f>Q44*S44</f>
        <v>13241400</v>
      </c>
    </row>
    <row r="45" spans="1:27" s="19" customFormat="1" ht="15" customHeight="1">
      <c r="A45" s="28"/>
      <c r="B45" s="297"/>
      <c r="C45" s="992" t="s">
        <v>45</v>
      </c>
      <c r="D45" s="1125">
        <f>62293520/1000</f>
        <v>62293.52</v>
      </c>
      <c r="E45" s="1125">
        <f>(ROUND((SUM(X45,X75,X87,X94))/1000,0))</f>
        <v>56762</v>
      </c>
      <c r="F45" s="1001">
        <f>E45-D45</f>
        <v>-5531.5199999999968</v>
      </c>
      <c r="G45" s="1053">
        <f>E45/D45</f>
        <v>0.91120232088345632</v>
      </c>
      <c r="H45" s="438"/>
      <c r="I45" s="439" t="s">
        <v>28</v>
      </c>
      <c r="J45" s="439"/>
      <c r="K45" s="439"/>
      <c r="L45" s="439"/>
      <c r="M45" s="439"/>
      <c r="N45" s="439"/>
      <c r="O45" s="480"/>
      <c r="P45" s="480"/>
      <c r="Q45" s="481"/>
      <c r="R45" s="481"/>
      <c r="S45" s="482"/>
      <c r="T45" s="483"/>
      <c r="U45" s="444"/>
      <c r="V45" s="444"/>
      <c r="W45" s="444" t="s">
        <v>50</v>
      </c>
      <c r="X45" s="372">
        <f>SUM(X46,X59,X64,X67,X70,X72)</f>
        <v>38645360</v>
      </c>
    </row>
    <row r="46" spans="1:27" s="19" customFormat="1" ht="15" customHeight="1">
      <c r="A46" s="28"/>
      <c r="B46" s="297"/>
      <c r="C46" s="993"/>
      <c r="D46" s="1126"/>
      <c r="E46" s="1126"/>
      <c r="F46" s="1002"/>
      <c r="G46" s="1054"/>
      <c r="H46" s="445"/>
      <c r="I46" s="744" t="s">
        <v>173</v>
      </c>
      <c r="J46" s="453"/>
      <c r="K46" s="453"/>
      <c r="L46" s="453"/>
      <c r="M46" s="453"/>
      <c r="N46" s="453"/>
      <c r="O46" s="484"/>
      <c r="P46" s="484"/>
      <c r="Q46" s="411"/>
      <c r="R46" s="411"/>
      <c r="S46" s="485"/>
      <c r="T46" s="486"/>
      <c r="U46" s="735"/>
      <c r="V46" s="735"/>
      <c r="W46" s="735"/>
      <c r="X46" s="374">
        <f>SUM(X47:X58)</f>
        <v>25823420</v>
      </c>
    </row>
    <row r="47" spans="1:27" s="19" customFormat="1" ht="15" hidden="1" customHeight="1">
      <c r="A47" s="28"/>
      <c r="B47" s="366"/>
      <c r="C47" s="993"/>
      <c r="D47" s="1126"/>
      <c r="E47" s="1126"/>
      <c r="F47" s="1002"/>
      <c r="G47" s="1054"/>
      <c r="H47" s="445"/>
      <c r="I47" s="450" t="s">
        <v>221</v>
      </c>
      <c r="J47" s="453"/>
      <c r="K47" s="453"/>
      <c r="L47" s="453"/>
      <c r="M47" s="453"/>
      <c r="N47" s="453"/>
      <c r="O47" s="484"/>
      <c r="P47" s="484"/>
      <c r="Q47" s="451">
        <v>4320260</v>
      </c>
      <c r="R47" s="451" t="s">
        <v>56</v>
      </c>
      <c r="S47" s="487">
        <v>1.2</v>
      </c>
      <c r="T47" s="486" t="s">
        <v>52</v>
      </c>
      <c r="U47" s="735"/>
      <c r="V47" s="735"/>
      <c r="W47" s="735"/>
      <c r="X47" s="374">
        <f>ROUNDUP((Q47*S47),-1)+10</f>
        <v>5184330</v>
      </c>
    </row>
    <row r="48" spans="1:27" s="19" customFormat="1" ht="15" hidden="1" customHeight="1">
      <c r="A48" s="28"/>
      <c r="B48" s="366"/>
      <c r="C48" s="993"/>
      <c r="D48" s="1126"/>
      <c r="E48" s="1126"/>
      <c r="F48" s="1002"/>
      <c r="G48" s="1054"/>
      <c r="H48" s="445"/>
      <c r="I48" s="450" t="s">
        <v>222</v>
      </c>
      <c r="J48" s="450"/>
      <c r="K48" s="450"/>
      <c r="L48" s="450"/>
      <c r="M48" s="453"/>
      <c r="N48" s="453"/>
      <c r="O48" s="484"/>
      <c r="P48" s="484"/>
      <c r="Q48" s="451">
        <v>3414180</v>
      </c>
      <c r="R48" s="451" t="s">
        <v>56</v>
      </c>
      <c r="S48" s="487">
        <v>0.6</v>
      </c>
      <c r="T48" s="486" t="s">
        <v>52</v>
      </c>
      <c r="U48" s="735"/>
      <c r="V48" s="735"/>
      <c r="W48" s="735"/>
      <c r="X48" s="374">
        <v>2048480</v>
      </c>
    </row>
    <row r="49" spans="1:24" s="19" customFormat="1" ht="15" hidden="1" customHeight="1">
      <c r="A49" s="28"/>
      <c r="B49" s="366"/>
      <c r="C49" s="993"/>
      <c r="D49" s="1126"/>
      <c r="E49" s="1126"/>
      <c r="F49" s="1002"/>
      <c r="G49" s="1054"/>
      <c r="H49" s="445"/>
      <c r="I49" s="450" t="s">
        <v>209</v>
      </c>
      <c r="J49" s="450"/>
      <c r="K49" s="450"/>
      <c r="L49" s="450"/>
      <c r="M49" s="453"/>
      <c r="N49" s="453"/>
      <c r="O49" s="484"/>
      <c r="P49" s="484"/>
      <c r="Q49" s="451">
        <v>3499430</v>
      </c>
      <c r="R49" s="451" t="s">
        <v>56</v>
      </c>
      <c r="S49" s="487">
        <v>0.6</v>
      </c>
      <c r="T49" s="486" t="s">
        <v>52</v>
      </c>
      <c r="U49" s="735"/>
      <c r="V49" s="735"/>
      <c r="W49" s="735"/>
      <c r="X49" s="374">
        <f>ROUNDUP((Q49*S49),-1)</f>
        <v>2099660</v>
      </c>
    </row>
    <row r="50" spans="1:24" s="19" customFormat="1" ht="15" hidden="1" customHeight="1">
      <c r="A50" s="28"/>
      <c r="B50" s="366"/>
      <c r="C50" s="993"/>
      <c r="D50" s="1126"/>
      <c r="E50" s="1126"/>
      <c r="F50" s="1002"/>
      <c r="G50" s="1054"/>
      <c r="H50" s="445"/>
      <c r="I50" s="450" t="s">
        <v>210</v>
      </c>
      <c r="J50" s="450"/>
      <c r="K50" s="450"/>
      <c r="L50" s="450"/>
      <c r="M50" s="453"/>
      <c r="N50" s="453"/>
      <c r="O50" s="484"/>
      <c r="P50" s="484"/>
      <c r="Q50" s="451">
        <v>2804850</v>
      </c>
      <c r="R50" s="451" t="s">
        <v>56</v>
      </c>
      <c r="S50" s="487">
        <v>1.2</v>
      </c>
      <c r="T50" s="486" t="s">
        <v>52</v>
      </c>
      <c r="U50" s="735"/>
      <c r="V50" s="735"/>
      <c r="W50" s="735"/>
      <c r="X50" s="374">
        <f>ROUNDUP((Q50*S50),-1)</f>
        <v>3365820</v>
      </c>
    </row>
    <row r="51" spans="1:24" s="19" customFormat="1" ht="15" hidden="1" customHeight="1">
      <c r="A51" s="28"/>
      <c r="B51" s="366"/>
      <c r="C51" s="993"/>
      <c r="D51" s="1126"/>
      <c r="E51" s="1126"/>
      <c r="F51" s="1002"/>
      <c r="G51" s="1054"/>
      <c r="H51" s="445"/>
      <c r="I51" s="450" t="s">
        <v>223</v>
      </c>
      <c r="J51" s="450"/>
      <c r="K51" s="450"/>
      <c r="L51" s="450"/>
      <c r="M51" s="453"/>
      <c r="N51" s="453"/>
      <c r="O51" s="484"/>
      <c r="P51" s="484"/>
      <c r="Q51" s="451">
        <v>2325540</v>
      </c>
      <c r="R51" s="451" t="s">
        <v>56</v>
      </c>
      <c r="S51" s="487">
        <v>0.6</v>
      </c>
      <c r="T51" s="486" t="s">
        <v>52</v>
      </c>
      <c r="U51" s="735"/>
      <c r="V51" s="735"/>
      <c r="W51" s="735"/>
      <c r="X51" s="374">
        <f t="shared" ref="X51:X58" si="1">ROUNDUP((Q51*S51),-1)</f>
        <v>1395330</v>
      </c>
    </row>
    <row r="52" spans="1:24" s="19" customFormat="1" ht="15" hidden="1" customHeight="1">
      <c r="A52" s="28"/>
      <c r="B52" s="366"/>
      <c r="C52" s="993"/>
      <c r="D52" s="1126"/>
      <c r="E52" s="1126"/>
      <c r="F52" s="1002"/>
      <c r="G52" s="1054"/>
      <c r="H52" s="445"/>
      <c r="I52" s="450" t="s">
        <v>224</v>
      </c>
      <c r="J52" s="450"/>
      <c r="K52" s="450"/>
      <c r="L52" s="450"/>
      <c r="M52" s="453"/>
      <c r="N52" s="453"/>
      <c r="O52" s="484"/>
      <c r="P52" s="484"/>
      <c r="Q52" s="451">
        <v>2583020</v>
      </c>
      <c r="R52" s="451" t="s">
        <v>56</v>
      </c>
      <c r="S52" s="487">
        <v>0.6</v>
      </c>
      <c r="T52" s="486" t="s">
        <v>52</v>
      </c>
      <c r="U52" s="735"/>
      <c r="V52" s="735"/>
      <c r="W52" s="735"/>
      <c r="X52" s="374">
        <f t="shared" si="1"/>
        <v>1549820</v>
      </c>
    </row>
    <row r="53" spans="1:24" s="19" customFormat="1" ht="15" hidden="1" customHeight="1">
      <c r="A53" s="28"/>
      <c r="B53" s="366"/>
      <c r="C53" s="993"/>
      <c r="D53" s="1126"/>
      <c r="E53" s="1126"/>
      <c r="F53" s="1002"/>
      <c r="G53" s="1054"/>
      <c r="H53" s="445"/>
      <c r="I53" s="450" t="s">
        <v>269</v>
      </c>
      <c r="J53" s="450"/>
      <c r="K53" s="450"/>
      <c r="L53" s="450"/>
      <c r="M53" s="453"/>
      <c r="N53" s="453"/>
      <c r="O53" s="484"/>
      <c r="P53" s="484"/>
      <c r="Q53" s="451">
        <v>2206900</v>
      </c>
      <c r="R53" s="451" t="s">
        <v>56</v>
      </c>
      <c r="S53" s="487">
        <v>0.6</v>
      </c>
      <c r="T53" s="486" t="s">
        <v>52</v>
      </c>
      <c r="U53" s="735"/>
      <c r="V53" s="735"/>
      <c r="W53" s="735"/>
      <c r="X53" s="374">
        <f t="shared" si="1"/>
        <v>1324140</v>
      </c>
    </row>
    <row r="54" spans="1:24" s="19" customFormat="1" ht="15" hidden="1" customHeight="1">
      <c r="A54" s="28"/>
      <c r="B54" s="366"/>
      <c r="C54" s="993"/>
      <c r="D54" s="1126"/>
      <c r="E54" s="1126"/>
      <c r="F54" s="1002"/>
      <c r="G54" s="1054"/>
      <c r="H54" s="445"/>
      <c r="I54" s="450" t="s">
        <v>270</v>
      </c>
      <c r="J54" s="450"/>
      <c r="K54" s="450"/>
      <c r="L54" s="450"/>
      <c r="M54" s="453"/>
      <c r="N54" s="453"/>
      <c r="O54" s="484"/>
      <c r="P54" s="484"/>
      <c r="Q54" s="451">
        <v>2265300</v>
      </c>
      <c r="R54" s="451" t="s">
        <v>56</v>
      </c>
      <c r="S54" s="487">
        <v>0.6</v>
      </c>
      <c r="T54" s="486" t="s">
        <v>52</v>
      </c>
      <c r="U54" s="735"/>
      <c r="V54" s="735"/>
      <c r="W54" s="735"/>
      <c r="X54" s="374">
        <f t="shared" si="1"/>
        <v>1359180</v>
      </c>
    </row>
    <row r="55" spans="1:24" s="19" customFormat="1" ht="15" hidden="1" customHeight="1">
      <c r="A55" s="28"/>
      <c r="B55" s="366"/>
      <c r="C55" s="993"/>
      <c r="D55" s="1126"/>
      <c r="E55" s="1126"/>
      <c r="F55" s="1002"/>
      <c r="G55" s="1054"/>
      <c r="H55" s="445"/>
      <c r="I55" s="450" t="s">
        <v>271</v>
      </c>
      <c r="J55" s="450"/>
      <c r="K55" s="450"/>
      <c r="L55" s="450"/>
      <c r="M55" s="453"/>
      <c r="N55" s="453"/>
      <c r="O55" s="484"/>
      <c r="P55" s="484"/>
      <c r="Q55" s="451">
        <v>2206900</v>
      </c>
      <c r="R55" s="451" t="s">
        <v>56</v>
      </c>
      <c r="S55" s="487">
        <v>0.6</v>
      </c>
      <c r="T55" s="486" t="s">
        <v>52</v>
      </c>
      <c r="U55" s="735"/>
      <c r="V55" s="735"/>
      <c r="W55" s="735"/>
      <c r="X55" s="374">
        <f t="shared" si="1"/>
        <v>1324140</v>
      </c>
    </row>
    <row r="56" spans="1:24" s="19" customFormat="1" ht="15" hidden="1" customHeight="1">
      <c r="A56" s="28"/>
      <c r="B56" s="366"/>
      <c r="C56" s="993"/>
      <c r="D56" s="1126"/>
      <c r="E56" s="1126"/>
      <c r="F56" s="1002"/>
      <c r="G56" s="1054"/>
      <c r="H56" s="445"/>
      <c r="I56" s="450" t="s">
        <v>175</v>
      </c>
      <c r="J56" s="450"/>
      <c r="K56" s="450"/>
      <c r="L56" s="450"/>
      <c r="M56" s="453"/>
      <c r="N56" s="453"/>
      <c r="O56" s="484"/>
      <c r="P56" s="484"/>
      <c r="Q56" s="451">
        <v>2073500</v>
      </c>
      <c r="R56" s="451" t="s">
        <v>56</v>
      </c>
      <c r="S56" s="487">
        <v>1.2</v>
      </c>
      <c r="T56" s="486" t="s">
        <v>52</v>
      </c>
      <c r="U56" s="735"/>
      <c r="V56" s="735"/>
      <c r="W56" s="735"/>
      <c r="X56" s="374">
        <f>ROUNDUP((Q56*S56),-1)+10</f>
        <v>2488210</v>
      </c>
    </row>
    <row r="57" spans="1:24" s="19" customFormat="1" ht="15" hidden="1" customHeight="1">
      <c r="A57" s="28"/>
      <c r="B57" s="366"/>
      <c r="C57" s="993"/>
      <c r="D57" s="1126"/>
      <c r="E57" s="1126"/>
      <c r="F57" s="1002"/>
      <c r="G57" s="1054"/>
      <c r="H57" s="445"/>
      <c r="I57" s="450" t="s">
        <v>211</v>
      </c>
      <c r="J57" s="450"/>
      <c r="K57" s="450"/>
      <c r="L57" s="450"/>
      <c r="M57" s="453"/>
      <c r="N57" s="453"/>
      <c r="O57" s="484"/>
      <c r="P57" s="484"/>
      <c r="Q57" s="451">
        <v>2073500</v>
      </c>
      <c r="R57" s="451" t="s">
        <v>56</v>
      </c>
      <c r="S57" s="487">
        <v>0.6</v>
      </c>
      <c r="T57" s="486" t="s">
        <v>52</v>
      </c>
      <c r="U57" s="735"/>
      <c r="V57" s="735"/>
      <c r="W57" s="735"/>
      <c r="X57" s="374">
        <f>ROUNDUP((Q57*S57),-1)+10</f>
        <v>1244110</v>
      </c>
    </row>
    <row r="58" spans="1:24" s="19" customFormat="1" ht="15" hidden="1" customHeight="1">
      <c r="A58" s="28"/>
      <c r="B58" s="366"/>
      <c r="C58" s="993"/>
      <c r="D58" s="1126"/>
      <c r="E58" s="1126"/>
      <c r="F58" s="1002"/>
      <c r="G58" s="1054"/>
      <c r="H58" s="445"/>
      <c r="I58" s="450" t="s">
        <v>212</v>
      </c>
      <c r="J58" s="453"/>
      <c r="K58" s="453"/>
      <c r="L58" s="453"/>
      <c r="M58" s="453"/>
      <c r="N58" s="453"/>
      <c r="O58" s="484"/>
      <c r="P58" s="484"/>
      <c r="Q58" s="451">
        <v>2033500</v>
      </c>
      <c r="R58" s="451" t="s">
        <v>56</v>
      </c>
      <c r="S58" s="487">
        <v>1.2</v>
      </c>
      <c r="T58" s="486" t="s">
        <v>52</v>
      </c>
      <c r="U58" s="735"/>
      <c r="V58" s="735"/>
      <c r="W58" s="735"/>
      <c r="X58" s="374">
        <f t="shared" si="1"/>
        <v>2440200</v>
      </c>
    </row>
    <row r="59" spans="1:24" s="19" customFormat="1" ht="15" customHeight="1">
      <c r="A59" s="28"/>
      <c r="B59" s="297"/>
      <c r="C59" s="993"/>
      <c r="D59" s="1126"/>
      <c r="E59" s="1126"/>
      <c r="F59" s="1002"/>
      <c r="G59" s="1054"/>
      <c r="H59" s="445"/>
      <c r="I59" s="744" t="s">
        <v>15</v>
      </c>
      <c r="J59" s="742"/>
      <c r="K59" s="742"/>
      <c r="L59" s="742"/>
      <c r="M59" s="742"/>
      <c r="N59" s="742"/>
      <c r="O59" s="702"/>
      <c r="P59" s="702"/>
      <c r="Q59" s="703"/>
      <c r="R59" s="703"/>
      <c r="S59" s="704"/>
      <c r="T59" s="705"/>
      <c r="U59" s="734"/>
      <c r="V59" s="734"/>
      <c r="W59" s="734"/>
      <c r="X59" s="747">
        <f>SUM(X60:X63)</f>
        <v>5298120</v>
      </c>
    </row>
    <row r="60" spans="1:24" s="19" customFormat="1" ht="15" hidden="1" customHeight="1">
      <c r="A60" s="28"/>
      <c r="B60" s="366"/>
      <c r="C60" s="993"/>
      <c r="D60" s="1126"/>
      <c r="E60" s="1126"/>
      <c r="F60" s="1002"/>
      <c r="G60" s="1054"/>
      <c r="H60" s="445"/>
      <c r="I60" s="453" t="s">
        <v>225</v>
      </c>
      <c r="J60" s="453"/>
      <c r="K60" s="453"/>
      <c r="L60" s="453"/>
      <c r="M60" s="453"/>
      <c r="N60" s="453"/>
      <c r="O60" s="484"/>
      <c r="P60" s="484"/>
      <c r="Q60" s="451">
        <v>2206900</v>
      </c>
      <c r="R60" s="451" t="s">
        <v>56</v>
      </c>
      <c r="S60" s="487">
        <v>0.6</v>
      </c>
      <c r="T60" s="486" t="s">
        <v>52</v>
      </c>
      <c r="U60" s="735"/>
      <c r="V60" s="735"/>
      <c r="W60" s="735"/>
      <c r="X60" s="374">
        <f>ROUNDUP(Q60*S60,-1)</f>
        <v>1324140</v>
      </c>
    </row>
    <row r="61" spans="1:24" s="19" customFormat="1" ht="15" hidden="1" customHeight="1">
      <c r="A61" s="28"/>
      <c r="B61" s="366"/>
      <c r="C61" s="993"/>
      <c r="D61" s="1126"/>
      <c r="E61" s="1126"/>
      <c r="F61" s="1002"/>
      <c r="G61" s="1054"/>
      <c r="H61" s="445"/>
      <c r="I61" s="484"/>
      <c r="J61" s="450" t="s">
        <v>226</v>
      </c>
      <c r="K61" s="453"/>
      <c r="L61" s="453"/>
      <c r="M61" s="453"/>
      <c r="N61" s="453"/>
      <c r="O61" s="484"/>
      <c r="P61" s="484"/>
      <c r="Q61" s="451">
        <v>2265300</v>
      </c>
      <c r="R61" s="451" t="s">
        <v>56</v>
      </c>
      <c r="S61" s="487">
        <v>0.6</v>
      </c>
      <c r="T61" s="486" t="s">
        <v>52</v>
      </c>
      <c r="U61" s="735"/>
      <c r="V61" s="735"/>
      <c r="W61" s="735"/>
      <c r="X61" s="374">
        <f>ROUNDUP(Q61*S61,-1)</f>
        <v>1359180</v>
      </c>
    </row>
    <row r="62" spans="1:24" s="19" customFormat="1" ht="15" hidden="1" customHeight="1">
      <c r="A62" s="28"/>
      <c r="B62" s="366"/>
      <c r="C62" s="993"/>
      <c r="D62" s="1126"/>
      <c r="E62" s="1126"/>
      <c r="F62" s="1002"/>
      <c r="G62" s="1054"/>
      <c r="H62" s="445"/>
      <c r="I62" s="453" t="s">
        <v>215</v>
      </c>
      <c r="J62" s="453"/>
      <c r="K62" s="453"/>
      <c r="L62" s="453"/>
      <c r="M62" s="453"/>
      <c r="N62" s="453"/>
      <c r="O62" s="484"/>
      <c r="P62" s="484"/>
      <c r="Q62" s="451">
        <v>2151100</v>
      </c>
      <c r="R62" s="451" t="s">
        <v>56</v>
      </c>
      <c r="S62" s="487">
        <v>0.6</v>
      </c>
      <c r="T62" s="486" t="s">
        <v>52</v>
      </c>
      <c r="U62" s="735"/>
      <c r="V62" s="735"/>
      <c r="W62" s="735"/>
      <c r="X62" s="374">
        <f>ROUNDUP(Q62*S62,-1)</f>
        <v>1290660</v>
      </c>
    </row>
    <row r="63" spans="1:24" s="19" customFormat="1" ht="15" hidden="1" customHeight="1">
      <c r="A63" s="28"/>
      <c r="B63" s="366"/>
      <c r="C63" s="993"/>
      <c r="D63" s="1126"/>
      <c r="E63" s="1126"/>
      <c r="F63" s="1002"/>
      <c r="G63" s="1054"/>
      <c r="H63" s="445"/>
      <c r="I63" s="453"/>
      <c r="J63" s="450" t="s">
        <v>216</v>
      </c>
      <c r="K63" s="731"/>
      <c r="L63" s="731"/>
      <c r="M63" s="731"/>
      <c r="N63" s="731"/>
      <c r="O63" s="594"/>
      <c r="P63" s="594"/>
      <c r="Q63" s="451">
        <v>2206900</v>
      </c>
      <c r="R63" s="729" t="s">
        <v>56</v>
      </c>
      <c r="S63" s="487">
        <v>0.6</v>
      </c>
      <c r="T63" s="486" t="s">
        <v>52</v>
      </c>
      <c r="U63" s="748"/>
      <c r="V63" s="735"/>
      <c r="W63" s="735"/>
      <c r="X63" s="374">
        <f>ROUNDUP(Q63*S63,-1)</f>
        <v>1324140</v>
      </c>
    </row>
    <row r="64" spans="1:24" s="19" customFormat="1" ht="15" customHeight="1">
      <c r="A64" s="28"/>
      <c r="B64" s="297"/>
      <c r="C64" s="993"/>
      <c r="D64" s="1126"/>
      <c r="E64" s="1126"/>
      <c r="F64" s="1002"/>
      <c r="G64" s="1054"/>
      <c r="H64" s="445"/>
      <c r="I64" s="744" t="s">
        <v>29</v>
      </c>
      <c r="J64" s="742"/>
      <c r="K64" s="742"/>
      <c r="L64" s="742"/>
      <c r="M64" s="742"/>
      <c r="N64" s="742"/>
      <c r="O64" s="702"/>
      <c r="P64" s="702"/>
      <c r="Q64" s="703"/>
      <c r="R64" s="703"/>
      <c r="S64" s="704"/>
      <c r="T64" s="705"/>
      <c r="U64" s="734"/>
      <c r="V64" s="734"/>
      <c r="W64" s="734"/>
      <c r="X64" s="747">
        <f>SUM(X65:X66)</f>
        <v>3018360</v>
      </c>
    </row>
    <row r="65" spans="1:24" s="19" customFormat="1" ht="15" hidden="1" customHeight="1">
      <c r="A65" s="28"/>
      <c r="B65" s="366"/>
      <c r="C65" s="993"/>
      <c r="D65" s="1126"/>
      <c r="E65" s="1126"/>
      <c r="F65" s="1002"/>
      <c r="G65" s="1054"/>
      <c r="H65" s="445"/>
      <c r="I65" s="453" t="s">
        <v>227</v>
      </c>
      <c r="J65" s="453"/>
      <c r="K65" s="453"/>
      <c r="L65" s="453"/>
      <c r="M65" s="453"/>
      <c r="N65" s="453"/>
      <c r="O65" s="484"/>
      <c r="P65" s="484"/>
      <c r="Q65" s="451">
        <v>2265300</v>
      </c>
      <c r="R65" s="451" t="s">
        <v>56</v>
      </c>
      <c r="S65" s="487">
        <v>1.2</v>
      </c>
      <c r="T65" s="486" t="s">
        <v>52</v>
      </c>
      <c r="U65" s="735"/>
      <c r="V65" s="735"/>
      <c r="W65" s="735"/>
      <c r="X65" s="374">
        <f>ROUNDUP((Q65*S65),-1)</f>
        <v>2718360</v>
      </c>
    </row>
    <row r="66" spans="1:24" s="19" customFormat="1" ht="15" hidden="1" customHeight="1">
      <c r="A66" s="28"/>
      <c r="B66" s="366"/>
      <c r="C66" s="993"/>
      <c r="D66" s="1126"/>
      <c r="E66" s="1126"/>
      <c r="F66" s="1002"/>
      <c r="G66" s="1054"/>
      <c r="H66" s="445"/>
      <c r="I66" s="453" t="s">
        <v>278</v>
      </c>
      <c r="J66" s="453"/>
      <c r="K66" s="453"/>
      <c r="L66" s="453"/>
      <c r="M66" s="453"/>
      <c r="N66" s="453"/>
      <c r="O66" s="484"/>
      <c r="P66" s="484"/>
      <c r="Q66" s="451"/>
      <c r="R66" s="451"/>
      <c r="S66" s="749"/>
      <c r="T66" s="486"/>
      <c r="U66" s="735"/>
      <c r="V66" s="735"/>
      <c r="W66" s="735"/>
      <c r="X66" s="374">
        <v>300000</v>
      </c>
    </row>
    <row r="67" spans="1:24" s="19" customFormat="1" ht="15" customHeight="1">
      <c r="A67" s="28"/>
      <c r="B67" s="297"/>
      <c r="C67" s="993"/>
      <c r="D67" s="1126"/>
      <c r="E67" s="1126"/>
      <c r="F67" s="1002"/>
      <c r="G67" s="1054"/>
      <c r="H67" s="445"/>
      <c r="I67" s="744" t="s">
        <v>33</v>
      </c>
      <c r="J67" s="742"/>
      <c r="K67" s="742"/>
      <c r="L67" s="742"/>
      <c r="M67" s="742"/>
      <c r="N67" s="742"/>
      <c r="O67" s="702"/>
      <c r="P67" s="702"/>
      <c r="Q67" s="703"/>
      <c r="R67" s="703"/>
      <c r="S67" s="704"/>
      <c r="T67" s="705"/>
      <c r="U67" s="734"/>
      <c r="V67" s="734"/>
      <c r="W67" s="734"/>
      <c r="X67" s="747">
        <f>SUM(X68:X69)</f>
        <v>1590660</v>
      </c>
    </row>
    <row r="68" spans="1:24" s="19" customFormat="1" ht="15" hidden="1" customHeight="1">
      <c r="A68" s="28"/>
      <c r="B68" s="366"/>
      <c r="C68" s="993"/>
      <c r="D68" s="1126"/>
      <c r="E68" s="1126"/>
      <c r="F68" s="1002"/>
      <c r="G68" s="1054"/>
      <c r="H68" s="445"/>
      <c r="I68" s="453" t="s">
        <v>156</v>
      </c>
      <c r="J68" s="453"/>
      <c r="K68" s="450"/>
      <c r="L68" s="453"/>
      <c r="M68" s="453"/>
      <c r="N68" s="453"/>
      <c r="O68" s="484"/>
      <c r="P68" s="484"/>
      <c r="Q68" s="451">
        <v>2151100</v>
      </c>
      <c r="R68" s="451" t="s">
        <v>56</v>
      </c>
      <c r="S68" s="487">
        <v>0.6</v>
      </c>
      <c r="T68" s="486" t="s">
        <v>52</v>
      </c>
      <c r="U68" s="735"/>
      <c r="V68" s="735"/>
      <c r="W68" s="735"/>
      <c r="X68" s="374">
        <f>ROUNDUP((Q68*S68),-1)</f>
        <v>1290660</v>
      </c>
    </row>
    <row r="69" spans="1:24" s="19" customFormat="1" ht="15" hidden="1" customHeight="1">
      <c r="A69" s="28"/>
      <c r="B69" s="366"/>
      <c r="C69" s="993"/>
      <c r="D69" s="1126"/>
      <c r="E69" s="1126"/>
      <c r="F69" s="1002"/>
      <c r="G69" s="1054"/>
      <c r="H69" s="445"/>
      <c r="I69" s="453" t="s">
        <v>276</v>
      </c>
      <c r="J69" s="450"/>
      <c r="K69" s="450"/>
      <c r="L69" s="731"/>
      <c r="M69" s="594"/>
      <c r="N69" s="594"/>
      <c r="O69" s="594"/>
      <c r="P69" s="594"/>
      <c r="Q69" s="729"/>
      <c r="R69" s="451"/>
      <c r="S69" s="487"/>
      <c r="T69" s="486"/>
      <c r="U69" s="748"/>
      <c r="V69" s="735"/>
      <c r="W69" s="735"/>
      <c r="X69" s="374">
        <v>300000</v>
      </c>
    </row>
    <row r="70" spans="1:24" s="19" customFormat="1" ht="15" customHeight="1">
      <c r="A70" s="28"/>
      <c r="B70" s="297"/>
      <c r="C70" s="993"/>
      <c r="D70" s="1126"/>
      <c r="E70" s="1126"/>
      <c r="F70" s="1002"/>
      <c r="G70" s="1054"/>
      <c r="H70" s="445"/>
      <c r="I70" s="744" t="s">
        <v>228</v>
      </c>
      <c r="J70" s="744"/>
      <c r="K70" s="744"/>
      <c r="L70" s="742"/>
      <c r="M70" s="742"/>
      <c r="N70" s="742"/>
      <c r="O70" s="702"/>
      <c r="P70" s="702"/>
      <c r="Q70" s="745"/>
      <c r="R70" s="745"/>
      <c r="S70" s="746"/>
      <c r="T70" s="705"/>
      <c r="U70" s="734"/>
      <c r="V70" s="734"/>
      <c r="W70" s="734"/>
      <c r="X70" s="747">
        <f>SUM(X71)</f>
        <v>300000</v>
      </c>
    </row>
    <row r="71" spans="1:24" s="19" customFormat="1" ht="15" hidden="1" customHeight="1">
      <c r="A71" s="28"/>
      <c r="B71" s="366"/>
      <c r="C71" s="993"/>
      <c r="D71" s="1126"/>
      <c r="E71" s="1126"/>
      <c r="F71" s="1002"/>
      <c r="G71" s="1054"/>
      <c r="H71" s="445"/>
      <c r="I71" s="453" t="s">
        <v>229</v>
      </c>
      <c r="J71" s="450"/>
      <c r="K71" s="450"/>
      <c r="L71" s="731"/>
      <c r="M71" s="594"/>
      <c r="N71" s="594"/>
      <c r="O71" s="594"/>
      <c r="P71" s="594"/>
      <c r="Q71" s="729"/>
      <c r="R71" s="451"/>
      <c r="S71" s="487"/>
      <c r="T71" s="486"/>
      <c r="U71" s="748"/>
      <c r="V71" s="735"/>
      <c r="W71" s="735"/>
      <c r="X71" s="374">
        <v>300000</v>
      </c>
    </row>
    <row r="72" spans="1:24" s="19" customFormat="1" ht="15" customHeight="1">
      <c r="A72" s="28"/>
      <c r="B72" s="297"/>
      <c r="C72" s="993"/>
      <c r="D72" s="1126"/>
      <c r="E72" s="1126"/>
      <c r="F72" s="1002"/>
      <c r="G72" s="1054"/>
      <c r="H72" s="445"/>
      <c r="I72" s="744" t="s">
        <v>184</v>
      </c>
      <c r="J72" s="742"/>
      <c r="K72" s="742"/>
      <c r="L72" s="742"/>
      <c r="M72" s="702"/>
      <c r="N72" s="702"/>
      <c r="O72" s="702"/>
      <c r="P72" s="702"/>
      <c r="Q72" s="745"/>
      <c r="R72" s="745"/>
      <c r="S72" s="746"/>
      <c r="T72" s="705"/>
      <c r="U72" s="743"/>
      <c r="V72" s="743"/>
      <c r="W72" s="743"/>
      <c r="X72" s="747">
        <f>X74+X73</f>
        <v>2614800</v>
      </c>
    </row>
    <row r="73" spans="1:24" s="19" customFormat="1" ht="15" hidden="1" customHeight="1">
      <c r="A73" s="28"/>
      <c r="B73" s="366"/>
      <c r="C73" s="993"/>
      <c r="D73" s="1126"/>
      <c r="E73" s="1126"/>
      <c r="F73" s="1002"/>
      <c r="G73" s="1054"/>
      <c r="H73" s="445"/>
      <c r="I73" s="453" t="s">
        <v>218</v>
      </c>
      <c r="J73" s="453"/>
      <c r="K73" s="453"/>
      <c r="L73" s="453"/>
      <c r="M73" s="484"/>
      <c r="N73" s="484"/>
      <c r="O73" s="484"/>
      <c r="P73" s="484"/>
      <c r="Q73" s="451">
        <v>2151100</v>
      </c>
      <c r="R73" s="451" t="s">
        <v>56</v>
      </c>
      <c r="S73" s="487">
        <v>0.6</v>
      </c>
      <c r="T73" s="486" t="s">
        <v>52</v>
      </c>
      <c r="U73" s="736"/>
      <c r="V73" s="736"/>
      <c r="W73" s="736"/>
      <c r="X73" s="400">
        <f>ROUNDUP((Q73*S73),-1)</f>
        <v>1290660</v>
      </c>
    </row>
    <row r="74" spans="1:24" s="19" customFormat="1" ht="15" hidden="1" customHeight="1">
      <c r="A74" s="28"/>
      <c r="B74" s="366"/>
      <c r="C74" s="993"/>
      <c r="D74" s="1126"/>
      <c r="E74" s="1126"/>
      <c r="F74" s="1002"/>
      <c r="G74" s="1054"/>
      <c r="H74" s="445"/>
      <c r="I74" s="731" t="s">
        <v>220</v>
      </c>
      <c r="J74" s="731"/>
      <c r="K74" s="731"/>
      <c r="L74" s="731"/>
      <c r="M74" s="594"/>
      <c r="N74" s="594"/>
      <c r="O74" s="594"/>
      <c r="P74" s="594"/>
      <c r="Q74" s="729">
        <v>2206900</v>
      </c>
      <c r="R74" s="451" t="s">
        <v>56</v>
      </c>
      <c r="S74" s="487">
        <v>0.6</v>
      </c>
      <c r="T74" s="732" t="s">
        <v>52</v>
      </c>
      <c r="U74" s="733"/>
      <c r="V74" s="733"/>
      <c r="W74" s="733"/>
      <c r="X74" s="400">
        <f>ROUNDUP((Q74*S74),-1)</f>
        <v>1324140</v>
      </c>
    </row>
    <row r="75" spans="1:24" s="19" customFormat="1" ht="15" customHeight="1">
      <c r="A75" s="28"/>
      <c r="B75" s="297"/>
      <c r="C75" s="993"/>
      <c r="D75" s="1126"/>
      <c r="E75" s="1126"/>
      <c r="F75" s="1002"/>
      <c r="G75" s="1054"/>
      <c r="H75" s="438"/>
      <c r="I75" s="439" t="s">
        <v>281</v>
      </c>
      <c r="J75" s="439"/>
      <c r="K75" s="439"/>
      <c r="L75" s="439"/>
      <c r="M75" s="439"/>
      <c r="N75" s="439"/>
      <c r="O75" s="480"/>
      <c r="P75" s="480"/>
      <c r="Q75" s="481"/>
      <c r="R75" s="481"/>
      <c r="S75" s="482"/>
      <c r="T75" s="483"/>
      <c r="U75" s="444"/>
      <c r="V75" s="444"/>
      <c r="W75" s="444" t="s">
        <v>50</v>
      </c>
      <c r="X75" s="372">
        <f>SUM(X76,X79,X81,X83,X85,X92)</f>
        <v>17694610</v>
      </c>
    </row>
    <row r="76" spans="1:24" s="19" customFormat="1" ht="15" customHeight="1">
      <c r="A76" s="28"/>
      <c r="B76" s="297"/>
      <c r="C76" s="993"/>
      <c r="D76" s="1126"/>
      <c r="E76" s="1126"/>
      <c r="F76" s="1002"/>
      <c r="G76" s="1054"/>
      <c r="H76" s="499"/>
      <c r="I76" s="446" t="s">
        <v>173</v>
      </c>
      <c r="J76" s="446"/>
      <c r="K76" s="446"/>
      <c r="L76" s="446"/>
      <c r="M76" s="446"/>
      <c r="N76" s="446"/>
      <c r="O76" s="484"/>
      <c r="P76" s="484"/>
      <c r="Q76" s="411"/>
      <c r="R76" s="411"/>
      <c r="S76" s="485"/>
      <c r="T76" s="486"/>
      <c r="U76" s="449"/>
      <c r="V76" s="449"/>
      <c r="W76" s="449"/>
      <c r="X76" s="373">
        <f>SUM(X77:X78)</f>
        <v>9241960</v>
      </c>
    </row>
    <row r="77" spans="1:24" s="19" customFormat="1" ht="15" hidden="1" customHeight="1">
      <c r="A77" s="28"/>
      <c r="B77" s="297"/>
      <c r="C77" s="993"/>
      <c r="D77" s="1126"/>
      <c r="E77" s="1126"/>
      <c r="F77" s="1002"/>
      <c r="G77" s="1054"/>
      <c r="H77" s="445"/>
      <c r="I77" s="450" t="s">
        <v>363</v>
      </c>
      <c r="J77" s="446"/>
      <c r="K77" s="446"/>
      <c r="L77" s="446"/>
      <c r="M77" s="446"/>
      <c r="N77" s="446"/>
      <c r="O77" s="484"/>
      <c r="P77" s="484"/>
      <c r="Q77" s="500">
        <v>10</v>
      </c>
      <c r="R77" s="451" t="s">
        <v>56</v>
      </c>
      <c r="S77" s="501">
        <v>12</v>
      </c>
      <c r="T77" s="486"/>
      <c r="U77" s="449"/>
      <c r="V77" s="449"/>
      <c r="W77" s="449"/>
      <c r="X77" s="374">
        <v>9241960</v>
      </c>
    </row>
    <row r="78" spans="1:24" s="19" customFormat="1" ht="15" hidden="1" customHeight="1">
      <c r="A78" s="28"/>
      <c r="B78" s="297"/>
      <c r="C78" s="993"/>
      <c r="D78" s="1126"/>
      <c r="E78" s="1126"/>
      <c r="F78" s="1002"/>
      <c r="G78" s="1054"/>
      <c r="H78" s="445"/>
      <c r="I78" s="450" t="s">
        <v>303</v>
      </c>
      <c r="J78" s="446"/>
      <c r="K78" s="446"/>
      <c r="L78" s="446"/>
      <c r="M78" s="446"/>
      <c r="N78" s="446"/>
      <c r="O78" s="484"/>
      <c r="P78" s="484"/>
      <c r="Q78" s="500"/>
      <c r="R78" s="451"/>
      <c r="S78" s="501"/>
      <c r="T78" s="486"/>
      <c r="U78" s="449"/>
      <c r="V78" s="449"/>
      <c r="W78" s="449"/>
      <c r="X78" s="374">
        <v>0</v>
      </c>
    </row>
    <row r="79" spans="1:24" s="19" customFormat="1" ht="15" customHeight="1">
      <c r="A79" s="28"/>
      <c r="B79" s="297"/>
      <c r="C79" s="993"/>
      <c r="D79" s="1126"/>
      <c r="E79" s="1126"/>
      <c r="F79" s="1002"/>
      <c r="G79" s="1054"/>
      <c r="H79" s="445"/>
      <c r="I79" s="744" t="s">
        <v>15</v>
      </c>
      <c r="J79" s="742"/>
      <c r="K79" s="742"/>
      <c r="L79" s="742"/>
      <c r="M79" s="742"/>
      <c r="N79" s="742"/>
      <c r="O79" s="702"/>
      <c r="P79" s="702"/>
      <c r="Q79" s="750"/>
      <c r="R79" s="745"/>
      <c r="S79" s="751"/>
      <c r="T79" s="705"/>
      <c r="U79" s="734"/>
      <c r="V79" s="734"/>
      <c r="W79" s="734"/>
      <c r="X79" s="747">
        <f>SUM(X80)</f>
        <v>1478900</v>
      </c>
    </row>
    <row r="80" spans="1:24" s="19" customFormat="1" ht="15" hidden="1" customHeight="1">
      <c r="A80" s="28"/>
      <c r="B80" s="297"/>
      <c r="C80" s="993"/>
      <c r="D80" s="1126"/>
      <c r="E80" s="1126"/>
      <c r="F80" s="1002"/>
      <c r="G80" s="1054"/>
      <c r="H80" s="445"/>
      <c r="I80" s="450" t="s">
        <v>109</v>
      </c>
      <c r="J80" s="453"/>
      <c r="K80" s="453"/>
      <c r="L80" s="453"/>
      <c r="M80" s="453"/>
      <c r="N80" s="453"/>
      <c r="O80" s="484"/>
      <c r="P80" s="484"/>
      <c r="Q80" s="500">
        <v>10</v>
      </c>
      <c r="R80" s="451" t="s">
        <v>56</v>
      </c>
      <c r="S80" s="501">
        <v>12</v>
      </c>
      <c r="T80" s="486"/>
      <c r="U80" s="735"/>
      <c r="V80" s="735"/>
      <c r="W80" s="735"/>
      <c r="X80" s="374">
        <v>1478900</v>
      </c>
    </row>
    <row r="81" spans="1:24" s="19" customFormat="1" ht="15" customHeight="1">
      <c r="A81" s="28"/>
      <c r="B81" s="297"/>
      <c r="C81" s="993"/>
      <c r="D81" s="1126"/>
      <c r="E81" s="1126"/>
      <c r="F81" s="1002"/>
      <c r="G81" s="1054"/>
      <c r="H81" s="445"/>
      <c r="I81" s="744" t="s">
        <v>29</v>
      </c>
      <c r="J81" s="742"/>
      <c r="K81" s="742"/>
      <c r="L81" s="742"/>
      <c r="M81" s="742"/>
      <c r="N81" s="742"/>
      <c r="O81" s="702"/>
      <c r="P81" s="702"/>
      <c r="Q81" s="750"/>
      <c r="R81" s="703"/>
      <c r="S81" s="751"/>
      <c r="T81" s="705"/>
      <c r="U81" s="734"/>
      <c r="V81" s="734"/>
      <c r="W81" s="734"/>
      <c r="X81" s="747">
        <f>X82</f>
        <v>1089420</v>
      </c>
    </row>
    <row r="82" spans="1:24" s="19" customFormat="1" ht="15" hidden="1" customHeight="1">
      <c r="A82" s="28"/>
      <c r="B82" s="297"/>
      <c r="C82" s="993"/>
      <c r="D82" s="1126"/>
      <c r="E82" s="1126"/>
      <c r="F82" s="1002"/>
      <c r="G82" s="1054"/>
      <c r="H82" s="445"/>
      <c r="I82" s="654" t="s">
        <v>58</v>
      </c>
      <c r="J82" s="731"/>
      <c r="K82" s="731"/>
      <c r="L82" s="731"/>
      <c r="M82" s="731"/>
      <c r="N82" s="731"/>
      <c r="O82" s="594"/>
      <c r="P82" s="594"/>
      <c r="Q82" s="752">
        <v>10</v>
      </c>
      <c r="R82" s="655" t="s">
        <v>56</v>
      </c>
      <c r="S82" s="753">
        <v>12</v>
      </c>
      <c r="T82" s="732" t="s">
        <v>52</v>
      </c>
      <c r="U82" s="748"/>
      <c r="V82" s="748"/>
      <c r="W82" s="748"/>
      <c r="X82" s="397">
        <v>1089420</v>
      </c>
    </row>
    <row r="83" spans="1:24" s="19" customFormat="1" ht="15" customHeight="1">
      <c r="A83" s="28"/>
      <c r="B83" s="297"/>
      <c r="C83" s="993"/>
      <c r="D83" s="1126"/>
      <c r="E83" s="1126"/>
      <c r="F83" s="1002"/>
      <c r="G83" s="1054"/>
      <c r="H83" s="445"/>
      <c r="I83" s="450" t="s">
        <v>33</v>
      </c>
      <c r="J83" s="453"/>
      <c r="K83" s="453"/>
      <c r="L83" s="453"/>
      <c r="M83" s="453"/>
      <c r="N83" s="453"/>
      <c r="O83" s="484"/>
      <c r="P83" s="484"/>
      <c r="Q83" s="500"/>
      <c r="R83" s="451"/>
      <c r="S83" s="501"/>
      <c r="T83" s="486"/>
      <c r="U83" s="735"/>
      <c r="V83" s="735"/>
      <c r="W83" s="735"/>
      <c r="X83" s="374">
        <f>X84</f>
        <v>250240</v>
      </c>
    </row>
    <row r="84" spans="1:24" s="19" customFormat="1" ht="15" hidden="1" customHeight="1">
      <c r="A84" s="28"/>
      <c r="B84" s="297"/>
      <c r="C84" s="993"/>
      <c r="D84" s="1126"/>
      <c r="E84" s="1126"/>
      <c r="F84" s="1002"/>
      <c r="G84" s="1054"/>
      <c r="H84" s="445"/>
      <c r="I84" s="450" t="s">
        <v>58</v>
      </c>
      <c r="J84" s="453"/>
      <c r="K84" s="453"/>
      <c r="L84" s="453"/>
      <c r="M84" s="453"/>
      <c r="N84" s="453"/>
      <c r="O84" s="484"/>
      <c r="P84" s="484"/>
      <c r="Q84" s="500"/>
      <c r="R84" s="451"/>
      <c r="S84" s="501"/>
      <c r="T84" s="486"/>
      <c r="U84" s="735"/>
      <c r="V84" s="735"/>
      <c r="W84" s="735"/>
      <c r="X84" s="374">
        <v>250240</v>
      </c>
    </row>
    <row r="85" spans="1:24" s="19" customFormat="1" ht="15" customHeight="1">
      <c r="A85" s="28"/>
      <c r="B85" s="360"/>
      <c r="C85" s="993"/>
      <c r="D85" s="1126"/>
      <c r="E85" s="1126"/>
      <c r="F85" s="1002"/>
      <c r="G85" s="1054"/>
      <c r="H85" s="445"/>
      <c r="I85" s="744" t="s">
        <v>184</v>
      </c>
      <c r="J85" s="742"/>
      <c r="K85" s="742"/>
      <c r="L85" s="742"/>
      <c r="M85" s="742"/>
      <c r="N85" s="742"/>
      <c r="O85" s="702"/>
      <c r="P85" s="702"/>
      <c r="Q85" s="703"/>
      <c r="R85" s="703"/>
      <c r="S85" s="704"/>
      <c r="T85" s="705"/>
      <c r="U85" s="734"/>
      <c r="V85" s="734"/>
      <c r="W85" s="734"/>
      <c r="X85" s="747">
        <f>SUM(X86:X86)</f>
        <v>1396360</v>
      </c>
    </row>
    <row r="86" spans="1:24" s="19" customFormat="1" ht="15" hidden="1" customHeight="1">
      <c r="A86" s="28"/>
      <c r="B86" s="360"/>
      <c r="C86" s="993"/>
      <c r="D86" s="1126"/>
      <c r="E86" s="1126"/>
      <c r="F86" s="1002"/>
      <c r="G86" s="1054"/>
      <c r="H86" s="445"/>
      <c r="I86" s="453" t="s">
        <v>186</v>
      </c>
      <c r="J86" s="453"/>
      <c r="K86" s="450"/>
      <c r="L86" s="453"/>
      <c r="M86" s="453"/>
      <c r="N86" s="453"/>
      <c r="O86" s="484"/>
      <c r="P86" s="484"/>
      <c r="Q86" s="500">
        <v>10</v>
      </c>
      <c r="R86" s="451" t="s">
        <v>56</v>
      </c>
      <c r="S86" s="501">
        <v>6</v>
      </c>
      <c r="T86" s="486" t="s">
        <v>52</v>
      </c>
      <c r="U86" s="735"/>
      <c r="V86" s="735"/>
      <c r="W86" s="735"/>
      <c r="X86" s="374">
        <v>1396360</v>
      </c>
    </row>
    <row r="87" spans="1:24" s="19" customFormat="1" ht="15" hidden="1" customHeight="1">
      <c r="A87" s="28"/>
      <c r="B87" s="297"/>
      <c r="C87" s="993"/>
      <c r="D87" s="1126"/>
      <c r="E87" s="1126"/>
      <c r="F87" s="1002"/>
      <c r="G87" s="1054"/>
      <c r="H87" s="438"/>
      <c r="I87" s="754" t="s">
        <v>41</v>
      </c>
      <c r="J87" s="754"/>
      <c r="K87" s="754"/>
      <c r="L87" s="754"/>
      <c r="M87" s="754"/>
      <c r="N87" s="754"/>
      <c r="O87" s="480"/>
      <c r="P87" s="480"/>
      <c r="Q87" s="481"/>
      <c r="R87" s="481"/>
      <c r="S87" s="482"/>
      <c r="T87" s="483"/>
      <c r="U87" s="755"/>
      <c r="V87" s="755"/>
      <c r="W87" s="755" t="s">
        <v>50</v>
      </c>
      <c r="X87" s="756">
        <f>X89</f>
        <v>0</v>
      </c>
    </row>
    <row r="88" spans="1:24" s="19" customFormat="1" ht="15" hidden="1" customHeight="1">
      <c r="A88" s="28"/>
      <c r="B88" s="297"/>
      <c r="C88" s="993"/>
      <c r="D88" s="1126"/>
      <c r="E88" s="1126"/>
      <c r="F88" s="1002"/>
      <c r="G88" s="1054"/>
      <c r="H88" s="445"/>
      <c r="I88" s="450" t="s">
        <v>120</v>
      </c>
      <c r="J88" s="453"/>
      <c r="K88" s="453"/>
      <c r="L88" s="453"/>
      <c r="M88" s="453"/>
      <c r="N88" s="453"/>
      <c r="O88" s="484"/>
      <c r="P88" s="484"/>
      <c r="Q88" s="451"/>
      <c r="R88" s="451"/>
      <c r="S88" s="487"/>
      <c r="T88" s="486"/>
      <c r="U88" s="735"/>
      <c r="V88" s="735"/>
      <c r="W88" s="735"/>
      <c r="X88" s="374">
        <v>0</v>
      </c>
    </row>
    <row r="89" spans="1:24" s="19" customFormat="1" ht="15" hidden="1" customHeight="1">
      <c r="A89" s="28"/>
      <c r="B89" s="297"/>
      <c r="C89" s="993"/>
      <c r="D89" s="1126"/>
      <c r="E89" s="1126"/>
      <c r="F89" s="1002"/>
      <c r="G89" s="1054"/>
      <c r="H89" s="445"/>
      <c r="I89" s="744" t="s">
        <v>184</v>
      </c>
      <c r="J89" s="742"/>
      <c r="K89" s="742"/>
      <c r="L89" s="742"/>
      <c r="M89" s="742"/>
      <c r="N89" s="742"/>
      <c r="O89" s="702"/>
      <c r="P89" s="702"/>
      <c r="Q89" s="703"/>
      <c r="R89" s="703"/>
      <c r="S89" s="704"/>
      <c r="T89" s="705"/>
      <c r="U89" s="734"/>
      <c r="V89" s="734"/>
      <c r="W89" s="734"/>
      <c r="X89" s="747">
        <f>SUM(X90:X91)</f>
        <v>0</v>
      </c>
    </row>
    <row r="90" spans="1:24" s="19" customFormat="1" ht="15" hidden="1" customHeight="1">
      <c r="A90" s="28"/>
      <c r="B90" s="297"/>
      <c r="C90" s="993"/>
      <c r="D90" s="1126"/>
      <c r="E90" s="1126"/>
      <c r="F90" s="1002"/>
      <c r="G90" s="1054"/>
      <c r="H90" s="445"/>
      <c r="I90" s="453" t="s">
        <v>186</v>
      </c>
      <c r="J90" s="453"/>
      <c r="K90" s="450"/>
      <c r="L90" s="453"/>
      <c r="M90" s="453"/>
      <c r="N90" s="453"/>
      <c r="O90" s="484"/>
      <c r="P90" s="484"/>
      <c r="Q90" s="500">
        <v>10</v>
      </c>
      <c r="R90" s="451" t="s">
        <v>56</v>
      </c>
      <c r="S90" s="501">
        <v>6</v>
      </c>
      <c r="T90" s="486" t="s">
        <v>52</v>
      </c>
      <c r="U90" s="735"/>
      <c r="V90" s="735"/>
      <c r="W90" s="735"/>
      <c r="X90" s="374">
        <v>0</v>
      </c>
    </row>
    <row r="91" spans="1:24" s="19" customFormat="1" ht="15" hidden="1" customHeight="1">
      <c r="A91" s="28"/>
      <c r="B91" s="360"/>
      <c r="C91" s="993"/>
      <c r="D91" s="1126"/>
      <c r="E91" s="1126"/>
      <c r="F91" s="1002"/>
      <c r="G91" s="1054"/>
      <c r="H91" s="445"/>
      <c r="I91" s="453" t="s">
        <v>368</v>
      </c>
      <c r="J91" s="453"/>
      <c r="K91" s="453"/>
      <c r="L91" s="453"/>
      <c r="M91" s="453"/>
      <c r="N91" s="453"/>
      <c r="O91" s="484"/>
      <c r="P91" s="484"/>
      <c r="Q91" s="451"/>
      <c r="R91" s="451"/>
      <c r="S91" s="749"/>
      <c r="T91" s="486"/>
      <c r="U91" s="735"/>
      <c r="V91" s="735"/>
      <c r="W91" s="735"/>
      <c r="X91" s="374">
        <v>0</v>
      </c>
    </row>
    <row r="92" spans="1:24" s="19" customFormat="1" ht="15" customHeight="1">
      <c r="A92" s="28"/>
      <c r="B92" s="300"/>
      <c r="C92" s="993"/>
      <c r="D92" s="1126"/>
      <c r="E92" s="1126"/>
      <c r="F92" s="1002"/>
      <c r="G92" s="1054"/>
      <c r="H92" s="445"/>
      <c r="I92" s="744" t="s">
        <v>286</v>
      </c>
      <c r="J92" s="744"/>
      <c r="K92" s="744"/>
      <c r="L92" s="742"/>
      <c r="M92" s="742"/>
      <c r="N92" s="742"/>
      <c r="O92" s="702"/>
      <c r="P92" s="702"/>
      <c r="Q92" s="745"/>
      <c r="R92" s="745"/>
      <c r="S92" s="746"/>
      <c r="T92" s="705"/>
      <c r="U92" s="734"/>
      <c r="V92" s="734"/>
      <c r="W92" s="734"/>
      <c r="X92" s="747">
        <f>SUM(X93)</f>
        <v>4237730</v>
      </c>
    </row>
    <row r="93" spans="1:24" s="19" customFormat="1" ht="15" hidden="1" customHeight="1">
      <c r="A93" s="28"/>
      <c r="B93" s="300"/>
      <c r="C93" s="993"/>
      <c r="D93" s="1126"/>
      <c r="E93" s="1126"/>
      <c r="F93" s="1002"/>
      <c r="G93" s="1054"/>
      <c r="H93" s="516"/>
      <c r="I93" s="517" t="s">
        <v>287</v>
      </c>
      <c r="J93" s="518"/>
      <c r="K93" s="518"/>
      <c r="L93" s="519"/>
      <c r="M93" s="520"/>
      <c r="N93" s="520"/>
      <c r="O93" s="520"/>
      <c r="P93" s="520"/>
      <c r="Q93" s="521"/>
      <c r="R93" s="522"/>
      <c r="S93" s="523"/>
      <c r="T93" s="524"/>
      <c r="U93" s="525"/>
      <c r="V93" s="526"/>
      <c r="W93" s="526"/>
      <c r="X93" s="384">
        <v>4237730</v>
      </c>
    </row>
    <row r="94" spans="1:24" s="19" customFormat="1" ht="15" customHeight="1">
      <c r="A94" s="28"/>
      <c r="B94" s="361"/>
      <c r="C94" s="993"/>
      <c r="D94" s="1126"/>
      <c r="E94" s="1126"/>
      <c r="F94" s="1002"/>
      <c r="G94" s="1054"/>
      <c r="H94" s="438"/>
      <c r="I94" s="439" t="s">
        <v>41</v>
      </c>
      <c r="J94" s="439"/>
      <c r="K94" s="439"/>
      <c r="L94" s="439"/>
      <c r="M94" s="439"/>
      <c r="N94" s="439"/>
      <c r="O94" s="480"/>
      <c r="P94" s="480"/>
      <c r="Q94" s="481"/>
      <c r="R94" s="481"/>
      <c r="S94" s="482"/>
      <c r="T94" s="483"/>
      <c r="U94" s="444"/>
      <c r="V94" s="444"/>
      <c r="W94" s="444" t="s">
        <v>50</v>
      </c>
      <c r="X94" s="372">
        <f>X96</f>
        <v>422375</v>
      </c>
    </row>
    <row r="95" spans="1:24" s="19" customFormat="1" ht="15" hidden="1" customHeight="1">
      <c r="A95" s="28"/>
      <c r="B95" s="361"/>
      <c r="C95" s="993"/>
      <c r="D95" s="1126"/>
      <c r="E95" s="1126"/>
      <c r="F95" s="1002"/>
      <c r="G95" s="1054"/>
      <c r="H95" s="508"/>
      <c r="I95" s="509" t="s">
        <v>120</v>
      </c>
      <c r="J95" s="510"/>
      <c r="K95" s="510"/>
      <c r="L95" s="510"/>
      <c r="M95" s="510"/>
      <c r="N95" s="510"/>
      <c r="O95" s="511"/>
      <c r="P95" s="511"/>
      <c r="Q95" s="512"/>
      <c r="R95" s="512"/>
      <c r="S95" s="513"/>
      <c r="T95" s="514"/>
      <c r="U95" s="515"/>
      <c r="V95" s="515"/>
      <c r="W95" s="515"/>
      <c r="X95" s="383">
        <v>0</v>
      </c>
    </row>
    <row r="96" spans="1:24" s="19" customFormat="1" ht="15" customHeight="1">
      <c r="A96" s="28"/>
      <c r="B96" s="361"/>
      <c r="C96" s="993"/>
      <c r="D96" s="1126"/>
      <c r="E96" s="1126"/>
      <c r="F96" s="1002"/>
      <c r="G96" s="1054"/>
      <c r="H96" s="445"/>
      <c r="I96" s="744" t="s">
        <v>184</v>
      </c>
      <c r="J96" s="742"/>
      <c r="K96" s="742"/>
      <c r="L96" s="742"/>
      <c r="M96" s="742"/>
      <c r="N96" s="742"/>
      <c r="O96" s="702"/>
      <c r="P96" s="702"/>
      <c r="Q96" s="703"/>
      <c r="R96" s="703"/>
      <c r="S96" s="704"/>
      <c r="T96" s="705"/>
      <c r="U96" s="734"/>
      <c r="V96" s="734"/>
      <c r="W96" s="734"/>
      <c r="X96" s="747">
        <f>SUM(X97:X98)</f>
        <v>422375</v>
      </c>
    </row>
    <row r="97" spans="1:24" s="19" customFormat="1" ht="15" hidden="1" customHeight="1">
      <c r="A97" s="28"/>
      <c r="B97" s="361"/>
      <c r="C97" s="993"/>
      <c r="D97" s="1126"/>
      <c r="E97" s="1126"/>
      <c r="F97" s="1002"/>
      <c r="G97" s="1054"/>
      <c r="H97" s="467"/>
      <c r="I97" s="468" t="s">
        <v>186</v>
      </c>
      <c r="J97" s="468"/>
      <c r="K97" s="502"/>
      <c r="L97" s="468"/>
      <c r="M97" s="503"/>
      <c r="N97" s="503"/>
      <c r="O97" s="504"/>
      <c r="P97" s="504"/>
      <c r="Q97" s="505">
        <v>10</v>
      </c>
      <c r="R97" s="470" t="s">
        <v>56</v>
      </c>
      <c r="S97" s="506">
        <v>6</v>
      </c>
      <c r="T97" s="472" t="s">
        <v>52</v>
      </c>
      <c r="U97" s="507"/>
      <c r="V97" s="507"/>
      <c r="W97" s="507"/>
      <c r="X97" s="382">
        <v>378256</v>
      </c>
    </row>
    <row r="98" spans="1:24" s="19" customFormat="1" ht="15" hidden="1" customHeight="1">
      <c r="A98" s="28"/>
      <c r="B98" s="361"/>
      <c r="C98" s="1124"/>
      <c r="D98" s="1127"/>
      <c r="E98" s="1127"/>
      <c r="F98" s="1003"/>
      <c r="G98" s="1055"/>
      <c r="H98" s="491"/>
      <c r="I98" s="492" t="s">
        <v>368</v>
      </c>
      <c r="J98" s="493"/>
      <c r="K98" s="493"/>
      <c r="L98" s="493"/>
      <c r="M98" s="493"/>
      <c r="N98" s="493"/>
      <c r="O98" s="494"/>
      <c r="P98" s="494"/>
      <c r="Q98" s="495"/>
      <c r="R98" s="495"/>
      <c r="S98" s="496"/>
      <c r="T98" s="497"/>
      <c r="U98" s="498"/>
      <c r="V98" s="498"/>
      <c r="W98" s="498"/>
      <c r="X98" s="381">
        <v>44119</v>
      </c>
    </row>
    <row r="99" spans="1:24" s="19" customFormat="1" ht="15" customHeight="1">
      <c r="A99" s="28"/>
      <c r="B99" s="297"/>
      <c r="C99" s="992" t="s">
        <v>97</v>
      </c>
      <c r="D99" s="1001">
        <f>40517288/1000</f>
        <v>40517.288</v>
      </c>
      <c r="E99" s="1001">
        <f>+X99/1000</f>
        <v>38461.754000000001</v>
      </c>
      <c r="F99" s="1001">
        <f>+E99-D99</f>
        <v>-2055.5339999999997</v>
      </c>
      <c r="G99" s="1053">
        <f>E99/D99</f>
        <v>0.94926772986385466</v>
      </c>
      <c r="H99" s="438"/>
      <c r="I99" s="440" t="s">
        <v>97</v>
      </c>
      <c r="J99" s="440"/>
      <c r="K99" s="440"/>
      <c r="L99" s="480"/>
      <c r="M99" s="480"/>
      <c r="N99" s="480"/>
      <c r="O99" s="480"/>
      <c r="P99" s="480"/>
      <c r="Q99" s="481"/>
      <c r="R99" s="441"/>
      <c r="S99" s="483"/>
      <c r="T99" s="483"/>
      <c r="U99" s="444"/>
      <c r="V99" s="444"/>
      <c r="W99" s="444" t="s">
        <v>50</v>
      </c>
      <c r="X99" s="372">
        <f>SUM(X100:X107)+50</f>
        <v>38461754</v>
      </c>
    </row>
    <row r="100" spans="1:24" s="19" customFormat="1" ht="15" hidden="1" customHeight="1">
      <c r="A100" s="28"/>
      <c r="B100" s="297"/>
      <c r="C100" s="993"/>
      <c r="D100" s="1002"/>
      <c r="E100" s="1002"/>
      <c r="F100" s="1002"/>
      <c r="G100" s="1054"/>
      <c r="H100" s="499"/>
      <c r="I100" s="450" t="s">
        <v>362</v>
      </c>
      <c r="J100" s="484"/>
      <c r="K100" s="484"/>
      <c r="L100" s="484"/>
      <c r="M100" s="484"/>
      <c r="N100" s="484"/>
      <c r="O100" s="484"/>
      <c r="P100" s="484"/>
      <c r="Q100" s="411"/>
      <c r="R100" s="448"/>
      <c r="S100" s="486"/>
      <c r="T100" s="486"/>
      <c r="U100" s="527"/>
      <c r="V100" s="527"/>
      <c r="W100" s="527"/>
      <c r="X100" s="374">
        <v>24171312</v>
      </c>
    </row>
    <row r="101" spans="1:24" s="19" customFormat="1" ht="15" hidden="1" customHeight="1">
      <c r="A101" s="28"/>
      <c r="B101" s="297"/>
      <c r="C101" s="993"/>
      <c r="D101" s="1002"/>
      <c r="E101" s="1002"/>
      <c r="F101" s="1002"/>
      <c r="G101" s="1054"/>
      <c r="H101" s="499"/>
      <c r="I101" s="450" t="s">
        <v>304</v>
      </c>
      <c r="J101" s="484"/>
      <c r="K101" s="484"/>
      <c r="L101" s="484"/>
      <c r="M101" s="484"/>
      <c r="N101" s="484"/>
      <c r="O101" s="484"/>
      <c r="P101" s="484"/>
      <c r="Q101" s="411"/>
      <c r="R101" s="448"/>
      <c r="S101" s="486"/>
      <c r="T101" s="486"/>
      <c r="U101" s="527"/>
      <c r="V101" s="527"/>
      <c r="W101" s="527"/>
      <c r="X101" s="374">
        <v>0</v>
      </c>
    </row>
    <row r="102" spans="1:24" s="19" customFormat="1" ht="15" hidden="1" customHeight="1">
      <c r="A102" s="28"/>
      <c r="B102" s="359"/>
      <c r="C102" s="993"/>
      <c r="D102" s="1002"/>
      <c r="E102" s="1002"/>
      <c r="F102" s="1002"/>
      <c r="G102" s="1054"/>
      <c r="H102" s="528"/>
      <c r="I102" s="454" t="s">
        <v>346</v>
      </c>
      <c r="J102" s="529"/>
      <c r="K102" s="529"/>
      <c r="L102" s="529"/>
      <c r="M102" s="529"/>
      <c r="N102" s="529"/>
      <c r="O102" s="529"/>
      <c r="P102" s="529"/>
      <c r="Q102" s="530"/>
      <c r="R102" s="531"/>
      <c r="S102" s="532"/>
      <c r="T102" s="532"/>
      <c r="U102" s="533"/>
      <c r="V102" s="533"/>
      <c r="W102" s="533"/>
      <c r="X102" s="375">
        <v>634526</v>
      </c>
    </row>
    <row r="103" spans="1:24" s="19" customFormat="1" ht="15" hidden="1" customHeight="1">
      <c r="A103" s="28"/>
      <c r="B103" s="297"/>
      <c r="C103" s="993"/>
      <c r="D103" s="1002"/>
      <c r="E103" s="1002"/>
      <c r="F103" s="1002"/>
      <c r="G103" s="1054"/>
      <c r="H103" s="534"/>
      <c r="I103" s="459" t="s">
        <v>109</v>
      </c>
      <c r="J103" s="458"/>
      <c r="K103" s="458"/>
      <c r="L103" s="458"/>
      <c r="M103" s="458"/>
      <c r="N103" s="458"/>
      <c r="O103" s="458"/>
      <c r="P103" s="458"/>
      <c r="Q103" s="535"/>
      <c r="R103" s="536"/>
      <c r="S103" s="488"/>
      <c r="T103" s="488"/>
      <c r="U103" s="537"/>
      <c r="V103" s="537"/>
      <c r="W103" s="537"/>
      <c r="X103" s="376">
        <v>5021272</v>
      </c>
    </row>
    <row r="104" spans="1:24" s="19" customFormat="1" ht="15" hidden="1" customHeight="1">
      <c r="A104" s="28"/>
      <c r="B104" s="297"/>
      <c r="C104" s="993"/>
      <c r="D104" s="1002"/>
      <c r="E104" s="1002"/>
      <c r="F104" s="1002"/>
      <c r="G104" s="1054"/>
      <c r="H104" s="538"/>
      <c r="I104" s="539" t="s">
        <v>111</v>
      </c>
      <c r="J104" s="540"/>
      <c r="K104" s="540"/>
      <c r="L104" s="540"/>
      <c r="M104" s="540"/>
      <c r="N104" s="540"/>
      <c r="O104" s="540"/>
      <c r="P104" s="540"/>
      <c r="Q104" s="541"/>
      <c r="R104" s="542"/>
      <c r="S104" s="490"/>
      <c r="T104" s="490"/>
      <c r="U104" s="543"/>
      <c r="V104" s="543"/>
      <c r="W104" s="543"/>
      <c r="X104" s="378">
        <v>2607005</v>
      </c>
    </row>
    <row r="105" spans="1:24" s="19" customFormat="1" ht="15" hidden="1" customHeight="1">
      <c r="A105" s="28"/>
      <c r="B105" s="297"/>
      <c r="C105" s="993"/>
      <c r="D105" s="1002"/>
      <c r="E105" s="1002"/>
      <c r="F105" s="1002"/>
      <c r="G105" s="1054"/>
      <c r="H105" s="544"/>
      <c r="I105" s="462" t="s">
        <v>111</v>
      </c>
      <c r="J105" s="464"/>
      <c r="K105" s="464"/>
      <c r="L105" s="464"/>
      <c r="M105" s="464"/>
      <c r="N105" s="464"/>
      <c r="O105" s="464"/>
      <c r="P105" s="464"/>
      <c r="Q105" s="545"/>
      <c r="R105" s="545"/>
      <c r="S105" s="546"/>
      <c r="T105" s="463"/>
      <c r="U105" s="546"/>
      <c r="V105" s="546"/>
      <c r="W105" s="546"/>
      <c r="X105" s="385">
        <v>2012940</v>
      </c>
    </row>
    <row r="106" spans="1:24" s="19" customFormat="1" ht="15" hidden="1" customHeight="1">
      <c r="A106" s="28"/>
      <c r="B106" s="297"/>
      <c r="C106" s="993"/>
      <c r="D106" s="1002"/>
      <c r="E106" s="1002"/>
      <c r="F106" s="1002"/>
      <c r="G106" s="1054"/>
      <c r="H106" s="547"/>
      <c r="I106" s="465" t="s">
        <v>111</v>
      </c>
      <c r="J106" s="548"/>
      <c r="K106" s="548"/>
      <c r="L106" s="548"/>
      <c r="M106" s="548"/>
      <c r="N106" s="548"/>
      <c r="O106" s="548"/>
      <c r="P106" s="548"/>
      <c r="Q106" s="549"/>
      <c r="R106" s="549"/>
      <c r="S106" s="550"/>
      <c r="T106" s="466"/>
      <c r="U106" s="550"/>
      <c r="V106" s="550"/>
      <c r="W106" s="550"/>
      <c r="X106" s="386">
        <v>505605</v>
      </c>
    </row>
    <row r="107" spans="1:24" s="19" customFormat="1" ht="15" hidden="1" customHeight="1">
      <c r="A107" s="28"/>
      <c r="B107" s="297"/>
      <c r="C107" s="1124"/>
      <c r="D107" s="1003"/>
      <c r="E107" s="1003"/>
      <c r="F107" s="1003"/>
      <c r="G107" s="1055"/>
      <c r="H107" s="551"/>
      <c r="I107" s="502" t="s">
        <v>305</v>
      </c>
      <c r="J107" s="469"/>
      <c r="K107" s="469"/>
      <c r="L107" s="469"/>
      <c r="M107" s="469"/>
      <c r="N107" s="469"/>
      <c r="O107" s="469"/>
      <c r="P107" s="469"/>
      <c r="Q107" s="552"/>
      <c r="R107" s="553"/>
      <c r="S107" s="472"/>
      <c r="T107" s="472"/>
      <c r="U107" s="554"/>
      <c r="V107" s="554"/>
      <c r="W107" s="554"/>
      <c r="X107" s="382">
        <v>3509044</v>
      </c>
    </row>
    <row r="108" spans="1:24" s="19" customFormat="1" ht="15" customHeight="1">
      <c r="A108" s="28"/>
      <c r="B108" s="297"/>
      <c r="C108" s="1046" t="s">
        <v>84</v>
      </c>
      <c r="D108" s="989">
        <f>50259920/1000</f>
        <v>50259.92</v>
      </c>
      <c r="E108" s="989">
        <f>(ROUND((SUM(X108))/1000,0))</f>
        <v>49026</v>
      </c>
      <c r="F108" s="989">
        <f>+E108-D108</f>
        <v>-1233.9199999999983</v>
      </c>
      <c r="G108" s="1056">
        <f>E108/D108</f>
        <v>0.97544922475005935</v>
      </c>
      <c r="H108" s="438"/>
      <c r="I108" s="440" t="s">
        <v>84</v>
      </c>
      <c r="J108" s="440"/>
      <c r="K108" s="440"/>
      <c r="L108" s="440"/>
      <c r="M108" s="440"/>
      <c r="N108" s="440"/>
      <c r="O108" s="440"/>
      <c r="P108" s="440"/>
      <c r="Q108" s="441"/>
      <c r="R108" s="441"/>
      <c r="S108" s="442"/>
      <c r="T108" s="443"/>
      <c r="U108" s="444"/>
      <c r="V108" s="444"/>
      <c r="W108" s="444" t="s">
        <v>50</v>
      </c>
      <c r="X108" s="372">
        <f>SUM(X109:X116)+40</f>
        <v>49026050</v>
      </c>
    </row>
    <row r="109" spans="1:24" s="19" customFormat="1" ht="15" hidden="1" customHeight="1">
      <c r="A109" s="28"/>
      <c r="B109" s="297"/>
      <c r="C109" s="1047"/>
      <c r="D109" s="990"/>
      <c r="E109" s="990"/>
      <c r="F109" s="990"/>
      <c r="G109" s="1058"/>
      <c r="H109" s="499"/>
      <c r="I109" s="450" t="s">
        <v>362</v>
      </c>
      <c r="J109" s="484"/>
      <c r="K109" s="484"/>
      <c r="L109" s="484"/>
      <c r="M109" s="484"/>
      <c r="N109" s="484"/>
      <c r="O109" s="484"/>
      <c r="P109" s="484"/>
      <c r="Q109" s="411"/>
      <c r="R109" s="448"/>
      <c r="S109" s="486"/>
      <c r="T109" s="486"/>
      <c r="U109" s="527"/>
      <c r="V109" s="527"/>
      <c r="W109" s="527"/>
      <c r="X109" s="374">
        <v>30259670</v>
      </c>
    </row>
    <row r="110" spans="1:24" s="19" customFormat="1" ht="15" hidden="1" customHeight="1">
      <c r="A110" s="28"/>
      <c r="B110" s="297"/>
      <c r="C110" s="1047"/>
      <c r="D110" s="990"/>
      <c r="E110" s="990"/>
      <c r="F110" s="990"/>
      <c r="G110" s="1058"/>
      <c r="H110" s="499"/>
      <c r="I110" s="450" t="s">
        <v>306</v>
      </c>
      <c r="J110" s="484"/>
      <c r="K110" s="484"/>
      <c r="L110" s="484"/>
      <c r="M110" s="484"/>
      <c r="N110" s="484"/>
      <c r="O110" s="484"/>
      <c r="P110" s="484"/>
      <c r="Q110" s="411"/>
      <c r="R110" s="448"/>
      <c r="S110" s="486"/>
      <c r="T110" s="486"/>
      <c r="U110" s="527"/>
      <c r="V110" s="527"/>
      <c r="W110" s="527"/>
      <c r="X110" s="374">
        <v>0</v>
      </c>
    </row>
    <row r="111" spans="1:24" s="19" customFormat="1" ht="15" hidden="1" customHeight="1">
      <c r="A111" s="28"/>
      <c r="B111" s="359"/>
      <c r="C111" s="1047"/>
      <c r="D111" s="990"/>
      <c r="E111" s="990"/>
      <c r="F111" s="990"/>
      <c r="G111" s="1058"/>
      <c r="H111" s="528"/>
      <c r="I111" s="454" t="s">
        <v>347</v>
      </c>
      <c r="J111" s="529"/>
      <c r="K111" s="529"/>
      <c r="L111" s="529"/>
      <c r="M111" s="529"/>
      <c r="N111" s="529"/>
      <c r="O111" s="529"/>
      <c r="P111" s="529"/>
      <c r="Q111" s="530"/>
      <c r="R111" s="531"/>
      <c r="S111" s="532"/>
      <c r="T111" s="532"/>
      <c r="U111" s="533"/>
      <c r="V111" s="533"/>
      <c r="W111" s="533"/>
      <c r="X111" s="375">
        <v>388460</v>
      </c>
    </row>
    <row r="112" spans="1:24" s="19" customFormat="1" ht="15" hidden="1" customHeight="1">
      <c r="A112" s="28"/>
      <c r="B112" s="297"/>
      <c r="C112" s="1047"/>
      <c r="D112" s="990"/>
      <c r="E112" s="990"/>
      <c r="F112" s="990"/>
      <c r="G112" s="1058"/>
      <c r="H112" s="534"/>
      <c r="I112" s="459" t="s">
        <v>109</v>
      </c>
      <c r="J112" s="458"/>
      <c r="K112" s="458"/>
      <c r="L112" s="458"/>
      <c r="M112" s="458"/>
      <c r="N112" s="458"/>
      <c r="O112" s="458"/>
      <c r="P112" s="458"/>
      <c r="Q112" s="535"/>
      <c r="R112" s="536"/>
      <c r="S112" s="488"/>
      <c r="T112" s="488"/>
      <c r="U112" s="537"/>
      <c r="V112" s="537"/>
      <c r="W112" s="537"/>
      <c r="X112" s="376">
        <v>6144150</v>
      </c>
    </row>
    <row r="113" spans="1:24" s="19" customFormat="1" ht="15" hidden="1" customHeight="1">
      <c r="A113" s="28"/>
      <c r="B113" s="297"/>
      <c r="C113" s="1047"/>
      <c r="D113" s="990"/>
      <c r="E113" s="990"/>
      <c r="F113" s="990"/>
      <c r="G113" s="1058"/>
      <c r="H113" s="538"/>
      <c r="I113" s="539" t="s">
        <v>109</v>
      </c>
      <c r="J113" s="540"/>
      <c r="K113" s="540"/>
      <c r="L113" s="540"/>
      <c r="M113" s="540"/>
      <c r="N113" s="540"/>
      <c r="O113" s="540"/>
      <c r="P113" s="540"/>
      <c r="Q113" s="541"/>
      <c r="R113" s="542"/>
      <c r="S113" s="490"/>
      <c r="T113" s="490"/>
      <c r="U113" s="543"/>
      <c r="V113" s="543"/>
      <c r="W113" s="543"/>
      <c r="X113" s="378">
        <v>4303560</v>
      </c>
    </row>
    <row r="114" spans="1:24" s="19" customFormat="1" ht="15" hidden="1" customHeight="1">
      <c r="A114" s="28"/>
      <c r="B114" s="297"/>
      <c r="C114" s="1047"/>
      <c r="D114" s="990"/>
      <c r="E114" s="990"/>
      <c r="F114" s="990"/>
      <c r="G114" s="1058"/>
      <c r="H114" s="544"/>
      <c r="I114" s="462" t="s">
        <v>111</v>
      </c>
      <c r="J114" s="464"/>
      <c r="K114" s="464"/>
      <c r="L114" s="464"/>
      <c r="M114" s="464"/>
      <c r="N114" s="464"/>
      <c r="O114" s="464"/>
      <c r="P114" s="464"/>
      <c r="Q114" s="545"/>
      <c r="R114" s="545"/>
      <c r="S114" s="546"/>
      <c r="T114" s="463"/>
      <c r="U114" s="546"/>
      <c r="V114" s="546"/>
      <c r="W114" s="546"/>
      <c r="X114" s="385">
        <v>2691470</v>
      </c>
    </row>
    <row r="115" spans="1:24" s="19" customFormat="1" ht="15" hidden="1" customHeight="1">
      <c r="A115" s="28"/>
      <c r="B115" s="297"/>
      <c r="C115" s="297"/>
      <c r="D115" s="990"/>
      <c r="E115" s="990"/>
      <c r="F115" s="990"/>
      <c r="G115" s="1058"/>
      <c r="H115" s="547"/>
      <c r="I115" s="465" t="s">
        <v>111</v>
      </c>
      <c r="J115" s="548"/>
      <c r="K115" s="548"/>
      <c r="L115" s="548"/>
      <c r="M115" s="548"/>
      <c r="N115" s="548"/>
      <c r="O115" s="548"/>
      <c r="P115" s="548"/>
      <c r="Q115" s="549"/>
      <c r="R115" s="549"/>
      <c r="S115" s="550"/>
      <c r="T115" s="466"/>
      <c r="U115" s="550"/>
      <c r="V115" s="550"/>
      <c r="W115" s="550"/>
      <c r="X115" s="386">
        <v>2162360</v>
      </c>
    </row>
    <row r="116" spans="1:24" s="19" customFormat="1" ht="15" hidden="1" customHeight="1">
      <c r="A116" s="28"/>
      <c r="B116" s="297"/>
      <c r="C116" s="297"/>
      <c r="D116" s="1031"/>
      <c r="E116" s="1031"/>
      <c r="F116" s="1031"/>
      <c r="G116" s="1059"/>
      <c r="H116" s="551"/>
      <c r="I116" s="502" t="s">
        <v>187</v>
      </c>
      <c r="J116" s="469"/>
      <c r="K116" s="469"/>
      <c r="L116" s="469"/>
      <c r="M116" s="469"/>
      <c r="N116" s="469"/>
      <c r="O116" s="469"/>
      <c r="P116" s="469"/>
      <c r="Q116" s="552"/>
      <c r="R116" s="553"/>
      <c r="S116" s="472"/>
      <c r="T116" s="472"/>
      <c r="U116" s="554"/>
      <c r="V116" s="554"/>
      <c r="W116" s="554"/>
      <c r="X116" s="382">
        <v>3076340</v>
      </c>
    </row>
    <row r="117" spans="1:24" s="19" customFormat="1" ht="15" customHeight="1">
      <c r="A117" s="28"/>
      <c r="B117" s="297"/>
      <c r="C117" s="1046" t="s">
        <v>117</v>
      </c>
      <c r="D117" s="989">
        <f>2267618/1000</f>
        <v>2267.6179999999999</v>
      </c>
      <c r="E117" s="989">
        <f>+X117/1000</f>
        <v>1898.92</v>
      </c>
      <c r="F117" s="989">
        <f>+E117-D117</f>
        <v>-368.69799999999987</v>
      </c>
      <c r="G117" s="1056">
        <f>E117/D117</f>
        <v>0.83740735873502514</v>
      </c>
      <c r="H117" s="438"/>
      <c r="I117" s="440" t="s">
        <v>117</v>
      </c>
      <c r="J117" s="440"/>
      <c r="K117" s="440"/>
      <c r="L117" s="440"/>
      <c r="M117" s="440"/>
      <c r="N117" s="440"/>
      <c r="O117" s="440"/>
      <c r="P117" s="440"/>
      <c r="Q117" s="441"/>
      <c r="R117" s="441"/>
      <c r="S117" s="442"/>
      <c r="T117" s="443"/>
      <c r="U117" s="444"/>
      <c r="V117" s="444"/>
      <c r="W117" s="444" t="s">
        <v>50</v>
      </c>
      <c r="X117" s="372">
        <f>SUM(X118:X124)</f>
        <v>1898920</v>
      </c>
    </row>
    <row r="118" spans="1:24" s="19" customFormat="1" ht="15" hidden="1" customHeight="1">
      <c r="A118" s="28"/>
      <c r="B118" s="297"/>
      <c r="C118" s="1047"/>
      <c r="D118" s="990"/>
      <c r="E118" s="990"/>
      <c r="F118" s="990"/>
      <c r="G118" s="1058"/>
      <c r="H118" s="499"/>
      <c r="I118" s="450" t="s">
        <v>161</v>
      </c>
      <c r="J118" s="447"/>
      <c r="K118" s="447"/>
      <c r="L118" s="447"/>
      <c r="M118" s="447"/>
      <c r="N118" s="447"/>
      <c r="O118" s="447"/>
      <c r="P118" s="447"/>
      <c r="Q118" s="411">
        <v>130000</v>
      </c>
      <c r="R118" s="411" t="s">
        <v>56</v>
      </c>
      <c r="S118" s="555">
        <v>8</v>
      </c>
      <c r="T118" s="501">
        <v>12</v>
      </c>
      <c r="U118" s="449"/>
      <c r="V118" s="449"/>
      <c r="W118" s="449"/>
      <c r="X118" s="374">
        <v>0</v>
      </c>
    </row>
    <row r="119" spans="1:24" s="19" customFormat="1" ht="15" hidden="1" customHeight="1">
      <c r="A119" s="28"/>
      <c r="B119" s="297"/>
      <c r="C119" s="1047"/>
      <c r="D119" s="990"/>
      <c r="E119" s="990"/>
      <c r="F119" s="990"/>
      <c r="G119" s="1058"/>
      <c r="H119" s="534"/>
      <c r="I119" s="459" t="s">
        <v>161</v>
      </c>
      <c r="J119" s="458"/>
      <c r="K119" s="458"/>
      <c r="L119" s="458"/>
      <c r="M119" s="458"/>
      <c r="N119" s="458"/>
      <c r="O119" s="458"/>
      <c r="P119" s="458"/>
      <c r="Q119" s="535">
        <v>130000</v>
      </c>
      <c r="R119" s="535" t="s">
        <v>56</v>
      </c>
      <c r="S119" s="556">
        <v>2</v>
      </c>
      <c r="T119" s="557">
        <v>12</v>
      </c>
      <c r="U119" s="537"/>
      <c r="V119" s="537"/>
      <c r="W119" s="537"/>
      <c r="X119" s="376">
        <v>0</v>
      </c>
    </row>
    <row r="120" spans="1:24" s="19" customFormat="1" ht="15" hidden="1" customHeight="1">
      <c r="A120" s="28"/>
      <c r="B120" s="297"/>
      <c r="C120" s="1047"/>
      <c r="D120" s="990"/>
      <c r="E120" s="990"/>
      <c r="F120" s="990"/>
      <c r="G120" s="1058"/>
      <c r="H120" s="538"/>
      <c r="I120" s="539" t="s">
        <v>161</v>
      </c>
      <c r="J120" s="540"/>
      <c r="K120" s="540"/>
      <c r="L120" s="540"/>
      <c r="M120" s="540"/>
      <c r="N120" s="540"/>
      <c r="O120" s="540"/>
      <c r="P120" s="540"/>
      <c r="Q120" s="541">
        <v>130000</v>
      </c>
      <c r="R120" s="541" t="s">
        <v>56</v>
      </c>
      <c r="S120" s="558">
        <v>1</v>
      </c>
      <c r="T120" s="559">
        <v>12</v>
      </c>
      <c r="U120" s="543"/>
      <c r="V120" s="543"/>
      <c r="W120" s="543"/>
      <c r="X120" s="378">
        <v>0</v>
      </c>
    </row>
    <row r="121" spans="1:24" s="19" customFormat="1" ht="15" hidden="1" customHeight="1">
      <c r="A121" s="28"/>
      <c r="B121" s="297"/>
      <c r="C121" s="1047"/>
      <c r="D121" s="990"/>
      <c r="E121" s="990"/>
      <c r="F121" s="990"/>
      <c r="G121" s="1058"/>
      <c r="H121" s="544"/>
      <c r="I121" s="462" t="s">
        <v>161</v>
      </c>
      <c r="J121" s="464"/>
      <c r="K121" s="464"/>
      <c r="L121" s="464"/>
      <c r="M121" s="464"/>
      <c r="N121" s="464"/>
      <c r="O121" s="464"/>
      <c r="P121" s="464"/>
      <c r="Q121" s="545">
        <v>130000</v>
      </c>
      <c r="R121" s="545" t="s">
        <v>56</v>
      </c>
      <c r="S121" s="546">
        <v>1</v>
      </c>
      <c r="T121" s="560">
        <v>12</v>
      </c>
      <c r="U121" s="546"/>
      <c r="V121" s="546"/>
      <c r="W121" s="546"/>
      <c r="X121" s="385">
        <v>0</v>
      </c>
    </row>
    <row r="122" spans="1:24" s="19" customFormat="1" ht="15" hidden="1" customHeight="1">
      <c r="A122" s="28"/>
      <c r="B122" s="297"/>
      <c r="C122" s="1047"/>
      <c r="D122" s="990"/>
      <c r="E122" s="990"/>
      <c r="F122" s="990"/>
      <c r="G122" s="1058"/>
      <c r="H122" s="551"/>
      <c r="I122" s="502" t="s">
        <v>161</v>
      </c>
      <c r="J122" s="469"/>
      <c r="K122" s="469"/>
      <c r="L122" s="469"/>
      <c r="M122" s="469"/>
      <c r="N122" s="469"/>
      <c r="O122" s="469"/>
      <c r="P122" s="469"/>
      <c r="Q122" s="552">
        <v>130000</v>
      </c>
      <c r="R122" s="552" t="s">
        <v>56</v>
      </c>
      <c r="S122" s="561">
        <v>1</v>
      </c>
      <c r="T122" s="562">
        <v>6</v>
      </c>
      <c r="U122" s="561"/>
      <c r="V122" s="561"/>
      <c r="W122" s="561"/>
      <c r="X122" s="387">
        <v>0</v>
      </c>
    </row>
    <row r="123" spans="1:24" s="19" customFormat="1" ht="15" hidden="1" customHeight="1">
      <c r="A123" s="28"/>
      <c r="B123" s="297"/>
      <c r="C123" s="1047"/>
      <c r="D123" s="990"/>
      <c r="E123" s="990"/>
      <c r="F123" s="990"/>
      <c r="G123" s="1058"/>
      <c r="H123" s="563"/>
      <c r="I123" s="564" t="s">
        <v>22</v>
      </c>
      <c r="J123" s="565"/>
      <c r="K123" s="565"/>
      <c r="L123" s="565"/>
      <c r="M123" s="565"/>
      <c r="N123" s="565"/>
      <c r="O123" s="565"/>
      <c r="P123" s="565"/>
      <c r="Q123" s="566"/>
      <c r="R123" s="567"/>
      <c r="S123" s="568"/>
      <c r="T123" s="568"/>
      <c r="U123" s="569"/>
      <c r="V123" s="569"/>
      <c r="W123" s="569"/>
      <c r="X123" s="388">
        <v>1673920</v>
      </c>
    </row>
    <row r="124" spans="1:24" s="19" customFormat="1" ht="15" hidden="1" customHeight="1">
      <c r="A124" s="28"/>
      <c r="B124" s="297"/>
      <c r="C124" s="292"/>
      <c r="D124" s="1031"/>
      <c r="E124" s="1031"/>
      <c r="F124" s="1031"/>
      <c r="G124" s="1059"/>
      <c r="H124" s="570"/>
      <c r="I124" s="571" t="s">
        <v>117</v>
      </c>
      <c r="J124" s="572"/>
      <c r="K124" s="572"/>
      <c r="L124" s="572"/>
      <c r="M124" s="572"/>
      <c r="N124" s="572"/>
      <c r="O124" s="572"/>
      <c r="P124" s="572"/>
      <c r="Q124" s="573"/>
      <c r="R124" s="574"/>
      <c r="S124" s="575"/>
      <c r="T124" s="575"/>
      <c r="U124" s="576"/>
      <c r="V124" s="576"/>
      <c r="W124" s="576"/>
      <c r="X124" s="389">
        <v>225000</v>
      </c>
    </row>
    <row r="125" spans="1:24" s="19" customFormat="1" ht="15" customHeight="1">
      <c r="A125" s="28"/>
      <c r="B125" s="296" t="s">
        <v>134</v>
      </c>
      <c r="C125" s="47" t="s">
        <v>127</v>
      </c>
      <c r="D125" s="46">
        <f>D126+D130</f>
        <v>4935.5300000000007</v>
      </c>
      <c r="E125" s="46">
        <f>E126+E130</f>
        <v>13207.659</v>
      </c>
      <c r="F125" s="46">
        <f>F126+F130</f>
        <v>8272.128999999999</v>
      </c>
      <c r="G125" s="242">
        <f>E125/D125</f>
        <v>2.6760366161283584</v>
      </c>
      <c r="H125" s="1077">
        <f>SUM(M125:X125)</f>
        <v>13208</v>
      </c>
      <c r="I125" s="1077"/>
      <c r="J125" s="1077"/>
      <c r="K125" s="1077"/>
      <c r="L125" s="1077"/>
      <c r="M125" s="1077">
        <f>R125</f>
        <v>4667.5</v>
      </c>
      <c r="N125" s="1077"/>
      <c r="O125" s="1077"/>
      <c r="P125" s="1077"/>
      <c r="Q125" s="1077"/>
      <c r="R125" s="1077">
        <f>(ROUNDUP((SUM(X127:X128,X130))/1000,0))/2</f>
        <v>4667.5</v>
      </c>
      <c r="S125" s="1077"/>
      <c r="T125" s="1077"/>
      <c r="U125" s="1077"/>
      <c r="V125" s="437"/>
      <c r="W125" s="437"/>
      <c r="X125" s="371">
        <f>(ROUND((SUM(X129))/1000,0))</f>
        <v>3873</v>
      </c>
    </row>
    <row r="126" spans="1:24" s="19" customFormat="1" ht="15" customHeight="1">
      <c r="A126" s="28"/>
      <c r="B126" s="297"/>
      <c r="C126" s="1046" t="s">
        <v>123</v>
      </c>
      <c r="D126" s="1043">
        <f>3338030/1000</f>
        <v>3338.03</v>
      </c>
      <c r="E126" s="1013">
        <f>X126/1000</f>
        <v>11408.339</v>
      </c>
      <c r="F126" s="1043">
        <f>+E126-D126</f>
        <v>8070.3089999999993</v>
      </c>
      <c r="G126" s="1056">
        <f>E126/D126</f>
        <v>3.4176861801721374</v>
      </c>
      <c r="H126" s="499"/>
      <c r="I126" s="440" t="s">
        <v>123</v>
      </c>
      <c r="J126" s="480"/>
      <c r="K126" s="480"/>
      <c r="L126" s="440"/>
      <c r="M126" s="440"/>
      <c r="N126" s="440"/>
      <c r="O126" s="480"/>
      <c r="P126" s="480"/>
      <c r="Q126" s="481"/>
      <c r="R126" s="481"/>
      <c r="S126" s="482"/>
      <c r="T126" s="483"/>
      <c r="U126" s="444"/>
      <c r="V126" s="444"/>
      <c r="W126" s="444" t="s">
        <v>50</v>
      </c>
      <c r="X126" s="372">
        <f>SUM(X127:X129)</f>
        <v>11408339</v>
      </c>
    </row>
    <row r="127" spans="1:24" s="19" customFormat="1" ht="15" hidden="1" customHeight="1">
      <c r="A127" s="28"/>
      <c r="B127" s="297"/>
      <c r="C127" s="1047"/>
      <c r="D127" s="1044"/>
      <c r="E127" s="1014"/>
      <c r="F127" s="1044"/>
      <c r="G127" s="1058"/>
      <c r="H127" s="499"/>
      <c r="I127" s="484" t="s">
        <v>123</v>
      </c>
      <c r="J127" s="484"/>
      <c r="K127" s="484"/>
      <c r="L127" s="447"/>
      <c r="M127" s="447"/>
      <c r="N127" s="447"/>
      <c r="O127" s="484"/>
      <c r="P127" s="484"/>
      <c r="Q127" s="411"/>
      <c r="R127" s="411"/>
      <c r="S127" s="485"/>
      <c r="T127" s="486"/>
      <c r="U127" s="485"/>
      <c r="V127" s="485"/>
      <c r="W127" s="485"/>
      <c r="X127" s="374">
        <f>2538030+1496900+3500000-90</f>
        <v>7534840</v>
      </c>
    </row>
    <row r="128" spans="1:24" s="19" customFormat="1" ht="15" hidden="1" customHeight="1">
      <c r="A128" s="28"/>
      <c r="B128" s="297"/>
      <c r="C128" s="1047"/>
      <c r="D128" s="1044"/>
      <c r="E128" s="1014"/>
      <c r="F128" s="1044"/>
      <c r="G128" s="1058"/>
      <c r="H128" s="577"/>
      <c r="I128" s="578" t="s">
        <v>194</v>
      </c>
      <c r="J128" s="578"/>
      <c r="K128" s="578"/>
      <c r="L128" s="579"/>
      <c r="M128" s="579"/>
      <c r="N128" s="579"/>
      <c r="O128" s="578"/>
      <c r="P128" s="578"/>
      <c r="Q128" s="580"/>
      <c r="R128" s="580"/>
      <c r="S128" s="581"/>
      <c r="T128" s="582"/>
      <c r="U128" s="581"/>
      <c r="V128" s="581"/>
      <c r="W128" s="581"/>
      <c r="X128" s="390">
        <v>0</v>
      </c>
    </row>
    <row r="129" spans="1:27" s="285" customFormat="1" ht="15" hidden="1" customHeight="1">
      <c r="A129" s="286"/>
      <c r="B129" s="287"/>
      <c r="C129" s="1047"/>
      <c r="D129" s="1045"/>
      <c r="E129" s="1042"/>
      <c r="F129" s="1044"/>
      <c r="G129" s="1059"/>
      <c r="H129" s="583"/>
      <c r="I129" s="584" t="s">
        <v>123</v>
      </c>
      <c r="J129" s="584"/>
      <c r="K129" s="584"/>
      <c r="L129" s="585"/>
      <c r="M129" s="585"/>
      <c r="N129" s="585"/>
      <c r="O129" s="584"/>
      <c r="P129" s="584"/>
      <c r="Q129" s="586"/>
      <c r="R129" s="522"/>
      <c r="S129" s="587"/>
      <c r="T129" s="524"/>
      <c r="U129" s="588"/>
      <c r="V129" s="588"/>
      <c r="W129" s="588"/>
      <c r="X129" s="384">
        <v>3873499</v>
      </c>
      <c r="AA129" s="284"/>
    </row>
    <row r="130" spans="1:27" s="19" customFormat="1" ht="15" customHeight="1">
      <c r="A130" s="28"/>
      <c r="B130" s="297"/>
      <c r="C130" s="1046" t="s">
        <v>44</v>
      </c>
      <c r="D130" s="1043">
        <f>1597500/1000</f>
        <v>1597.5</v>
      </c>
      <c r="E130" s="1013">
        <f>X130/1000</f>
        <v>1799.32</v>
      </c>
      <c r="F130" s="1043">
        <f>+E130-D130</f>
        <v>201.81999999999994</v>
      </c>
      <c r="G130" s="1056">
        <f>E130/D130</f>
        <v>1.1263348982785601</v>
      </c>
      <c r="H130" s="438"/>
      <c r="I130" s="440" t="s">
        <v>44</v>
      </c>
      <c r="J130" s="480"/>
      <c r="K130" s="480"/>
      <c r="L130" s="440"/>
      <c r="M130" s="440"/>
      <c r="N130" s="440"/>
      <c r="O130" s="480"/>
      <c r="P130" s="480"/>
      <c r="Q130" s="481"/>
      <c r="R130" s="481"/>
      <c r="S130" s="482"/>
      <c r="T130" s="483"/>
      <c r="U130" s="444"/>
      <c r="V130" s="444"/>
      <c r="W130" s="444" t="s">
        <v>50</v>
      </c>
      <c r="X130" s="372">
        <f>SUM(X131:X136)</f>
        <v>1799320</v>
      </c>
    </row>
    <row r="131" spans="1:27" s="19" customFormat="1" ht="15" customHeight="1">
      <c r="A131" s="28"/>
      <c r="B131" s="297"/>
      <c r="C131" s="1047"/>
      <c r="D131" s="1044"/>
      <c r="E131" s="1014"/>
      <c r="F131" s="1044"/>
      <c r="G131" s="1058"/>
      <c r="H131" s="499"/>
      <c r="I131" s="484" t="s">
        <v>44</v>
      </c>
      <c r="J131" s="484"/>
      <c r="K131" s="484"/>
      <c r="L131" s="447"/>
      <c r="M131" s="447"/>
      <c r="N131" s="447"/>
      <c r="O131" s="484"/>
      <c r="P131" s="484"/>
      <c r="Q131" s="411"/>
      <c r="R131" s="411"/>
      <c r="S131" s="485"/>
      <c r="T131" s="486"/>
      <c r="U131" s="485"/>
      <c r="V131" s="485"/>
      <c r="W131" s="485"/>
      <c r="X131" s="374">
        <v>329320</v>
      </c>
      <c r="AA131" s="22"/>
    </row>
    <row r="132" spans="1:27" s="19" customFormat="1" ht="15" hidden="1" customHeight="1">
      <c r="A132" s="28"/>
      <c r="B132" s="297"/>
      <c r="C132" s="1047"/>
      <c r="D132" s="1044"/>
      <c r="E132" s="1014"/>
      <c r="F132" s="1044"/>
      <c r="G132" s="1058"/>
      <c r="H132" s="534"/>
      <c r="I132" s="458" t="s">
        <v>44</v>
      </c>
      <c r="J132" s="458"/>
      <c r="K132" s="458"/>
      <c r="L132" s="455"/>
      <c r="M132" s="455"/>
      <c r="N132" s="455"/>
      <c r="O132" s="458"/>
      <c r="P132" s="458"/>
      <c r="Q132" s="535"/>
      <c r="R132" s="456"/>
      <c r="S132" s="589"/>
      <c r="T132" s="488"/>
      <c r="U132" s="590"/>
      <c r="V132" s="590"/>
      <c r="W132" s="590"/>
      <c r="X132" s="376">
        <v>0</v>
      </c>
      <c r="AA132" s="22"/>
    </row>
    <row r="133" spans="1:27" s="19" customFormat="1" ht="15" customHeight="1">
      <c r="A133" s="28"/>
      <c r="B133" s="297"/>
      <c r="C133" s="1046"/>
      <c r="D133" s="1043"/>
      <c r="E133" s="1013"/>
      <c r="F133" s="1043"/>
      <c r="G133" s="1058"/>
      <c r="H133" s="499"/>
      <c r="I133" s="484" t="s">
        <v>34</v>
      </c>
      <c r="J133" s="484"/>
      <c r="K133" s="484"/>
      <c r="L133" s="447"/>
      <c r="M133" s="447"/>
      <c r="N133" s="447"/>
      <c r="O133" s="484"/>
      <c r="P133" s="484"/>
      <c r="Q133" s="411"/>
      <c r="R133" s="451"/>
      <c r="S133" s="555"/>
      <c r="T133" s="591"/>
      <c r="U133" s="485"/>
      <c r="V133" s="485"/>
      <c r="W133" s="485"/>
      <c r="X133" s="374">
        <v>770000</v>
      </c>
      <c r="AA133" s="22"/>
    </row>
    <row r="134" spans="1:27" s="19" customFormat="1" ht="15" hidden="1" customHeight="1">
      <c r="A134" s="28"/>
      <c r="B134" s="297"/>
      <c r="C134" s="1047"/>
      <c r="D134" s="1044"/>
      <c r="E134" s="1014"/>
      <c r="F134" s="1044"/>
      <c r="G134" s="1058"/>
      <c r="H134" s="499"/>
      <c r="I134" s="484" t="s">
        <v>272</v>
      </c>
      <c r="J134" s="484"/>
      <c r="K134" s="484"/>
      <c r="L134" s="447"/>
      <c r="M134" s="447"/>
      <c r="N134" s="447"/>
      <c r="O134" s="484"/>
      <c r="P134" s="484"/>
      <c r="Q134" s="411"/>
      <c r="R134" s="451"/>
      <c r="S134" s="555"/>
      <c r="T134" s="591"/>
      <c r="U134" s="485"/>
      <c r="V134" s="485"/>
      <c r="W134" s="485"/>
      <c r="X134" s="374">
        <v>0</v>
      </c>
      <c r="AA134" s="275"/>
    </row>
    <row r="135" spans="1:27" s="19" customFormat="1" ht="15" hidden="1" customHeight="1">
      <c r="A135" s="28"/>
      <c r="B135" s="297"/>
      <c r="C135" s="1047"/>
      <c r="D135" s="1044"/>
      <c r="E135" s="1014"/>
      <c r="F135" s="1044"/>
      <c r="G135" s="1058"/>
      <c r="H135" s="534"/>
      <c r="I135" s="458" t="s">
        <v>34</v>
      </c>
      <c r="J135" s="458"/>
      <c r="K135" s="458"/>
      <c r="L135" s="455"/>
      <c r="M135" s="455"/>
      <c r="N135" s="455"/>
      <c r="O135" s="458"/>
      <c r="P135" s="458"/>
      <c r="Q135" s="535"/>
      <c r="R135" s="456"/>
      <c r="S135" s="589"/>
      <c r="T135" s="592"/>
      <c r="U135" s="590"/>
      <c r="V135" s="590"/>
      <c r="W135" s="590"/>
      <c r="X135" s="376">
        <v>0</v>
      </c>
      <c r="AA135" s="22"/>
    </row>
    <row r="136" spans="1:27" s="19" customFormat="1" ht="15" customHeight="1">
      <c r="A136" s="28"/>
      <c r="B136" s="297"/>
      <c r="C136" s="1048"/>
      <c r="D136" s="1045"/>
      <c r="E136" s="1042"/>
      <c r="F136" s="1045"/>
      <c r="G136" s="1059"/>
      <c r="H136" s="593"/>
      <c r="I136" s="594" t="s">
        <v>30</v>
      </c>
      <c r="J136" s="594"/>
      <c r="K136" s="594"/>
      <c r="L136" s="595"/>
      <c r="M136" s="595"/>
      <c r="N136" s="595"/>
      <c r="O136" s="594"/>
      <c r="P136" s="594"/>
      <c r="Q136" s="411"/>
      <c r="R136" s="451"/>
      <c r="S136" s="555"/>
      <c r="T136" s="596"/>
      <c r="U136" s="485"/>
      <c r="V136" s="485"/>
      <c r="W136" s="485"/>
      <c r="X136" s="374">
        <v>700000</v>
      </c>
      <c r="AA136" s="22"/>
    </row>
    <row r="137" spans="1:27" s="19" customFormat="1" ht="15" customHeight="1">
      <c r="A137" s="28"/>
      <c r="B137" s="296" t="s">
        <v>129</v>
      </c>
      <c r="C137" s="47" t="s">
        <v>127</v>
      </c>
      <c r="D137" s="46">
        <f>SUM(D138:D198)</f>
        <v>66620.451000000001</v>
      </c>
      <c r="E137" s="46">
        <f>SUM(E138:E198)</f>
        <v>64806.829000000005</v>
      </c>
      <c r="F137" s="46">
        <f>SUM(F138:F198)</f>
        <v>-1813.6220000000021</v>
      </c>
      <c r="G137" s="243">
        <f>E137/D137</f>
        <v>0.97277679792350857</v>
      </c>
      <c r="H137" s="1041">
        <f>SUM(M137:X137)</f>
        <v>64807</v>
      </c>
      <c r="I137" s="1041"/>
      <c r="J137" s="1041"/>
      <c r="K137" s="1041"/>
      <c r="L137" s="1041"/>
      <c r="M137" s="1041">
        <f>R137+(ROUND((X155+X154+X164+X180+X181+X197+X198)/1000,0))</f>
        <v>19450.5</v>
      </c>
      <c r="N137" s="1041"/>
      <c r="O137" s="1041"/>
      <c r="P137" s="1041"/>
      <c r="Q137" s="1041"/>
      <c r="R137" s="1041">
        <f>(ROUND((SUM(X146:X153,X159:X163,X167:X178,X185:X186,X189:X191,X193:X194,X139:X141))/1000,0))/2</f>
        <v>16823.5</v>
      </c>
      <c r="S137" s="1041"/>
      <c r="T137" s="1041"/>
      <c r="U137" s="1041"/>
      <c r="V137" s="597">
        <v>0</v>
      </c>
      <c r="W137" s="598">
        <v>0</v>
      </c>
      <c r="X137" s="391">
        <f>(ROUND((SUM(X195+X142+X165+X143+X179+X183+X188+X196+X144+X184+X145))/1000,0))</f>
        <v>28533</v>
      </c>
    </row>
    <row r="138" spans="1:27" s="19" customFormat="1" ht="15" customHeight="1">
      <c r="A138" s="28"/>
      <c r="B138" s="297"/>
      <c r="C138" s="1067" t="s">
        <v>102</v>
      </c>
      <c r="D138" s="1068">
        <f>20502750/1000</f>
        <v>20502.75</v>
      </c>
      <c r="E138" s="1068">
        <f>+X138/1000</f>
        <v>19941.342000000001</v>
      </c>
      <c r="F138" s="1069">
        <f>+E138-D138</f>
        <v>-561.40799999999945</v>
      </c>
      <c r="G138" s="998">
        <f>E138/D138</f>
        <v>0.97261791710868062</v>
      </c>
      <c r="H138" s="438"/>
      <c r="I138" s="440" t="s">
        <v>17</v>
      </c>
      <c r="J138" s="480"/>
      <c r="K138" s="480"/>
      <c r="L138" s="440"/>
      <c r="M138" s="440"/>
      <c r="N138" s="440"/>
      <c r="O138" s="480"/>
      <c r="P138" s="480"/>
      <c r="Q138" s="481"/>
      <c r="R138" s="481"/>
      <c r="S138" s="482"/>
      <c r="T138" s="483"/>
      <c r="U138" s="444"/>
      <c r="V138" s="444"/>
      <c r="W138" s="444" t="s">
        <v>50</v>
      </c>
      <c r="X138" s="372">
        <f>SUM(X139:X155)</f>
        <v>19941342</v>
      </c>
    </row>
    <row r="139" spans="1:27" s="19" customFormat="1" ht="15" customHeight="1">
      <c r="A139" s="28"/>
      <c r="B139" s="297"/>
      <c r="C139" s="1067"/>
      <c r="D139" s="1068"/>
      <c r="E139" s="1068"/>
      <c r="F139" s="1069"/>
      <c r="G139" s="999"/>
      <c r="H139" s="499"/>
      <c r="I139" s="484" t="s">
        <v>367</v>
      </c>
      <c r="J139" s="484"/>
      <c r="K139" s="484"/>
      <c r="L139" s="447"/>
      <c r="M139" s="447"/>
      <c r="N139" s="447"/>
      <c r="O139" s="484"/>
      <c r="P139" s="484"/>
      <c r="Q139" s="411"/>
      <c r="R139" s="411"/>
      <c r="S139" s="485"/>
      <c r="T139" s="486"/>
      <c r="U139" s="485"/>
      <c r="V139" s="485"/>
      <c r="W139" s="485"/>
      <c r="X139" s="374">
        <v>366305</v>
      </c>
      <c r="AA139" s="22"/>
    </row>
    <row r="140" spans="1:27" s="19" customFormat="1" ht="15" customHeight="1">
      <c r="A140" s="28"/>
      <c r="B140" s="297"/>
      <c r="C140" s="1067"/>
      <c r="D140" s="1068"/>
      <c r="E140" s="1068"/>
      <c r="F140" s="1069"/>
      <c r="G140" s="999"/>
      <c r="H140" s="499"/>
      <c r="I140" s="484" t="s">
        <v>308</v>
      </c>
      <c r="J140" s="484"/>
      <c r="K140" s="484"/>
      <c r="L140" s="447"/>
      <c r="M140" s="447"/>
      <c r="N140" s="447"/>
      <c r="O140" s="484"/>
      <c r="P140" s="484"/>
      <c r="Q140" s="411"/>
      <c r="R140" s="411"/>
      <c r="S140" s="485"/>
      <c r="T140" s="486"/>
      <c r="U140" s="485"/>
      <c r="V140" s="485"/>
      <c r="W140" s="485"/>
      <c r="X140" s="374">
        <v>2145282</v>
      </c>
      <c r="AA140" s="275"/>
    </row>
    <row r="141" spans="1:27" s="19" customFormat="1" ht="15" hidden="1" customHeight="1">
      <c r="A141" s="28"/>
      <c r="B141" s="297"/>
      <c r="C141" s="1067"/>
      <c r="D141" s="1068"/>
      <c r="E141" s="1068"/>
      <c r="F141" s="1069"/>
      <c r="G141" s="999"/>
      <c r="H141" s="499"/>
      <c r="I141" s="484" t="s">
        <v>309</v>
      </c>
      <c r="J141" s="484"/>
      <c r="K141" s="484"/>
      <c r="L141" s="447"/>
      <c r="M141" s="447"/>
      <c r="N141" s="447"/>
      <c r="O141" s="484"/>
      <c r="P141" s="484"/>
      <c r="Q141" s="411"/>
      <c r="R141" s="411"/>
      <c r="S141" s="485"/>
      <c r="T141" s="486"/>
      <c r="U141" s="485"/>
      <c r="V141" s="485"/>
      <c r="W141" s="485"/>
      <c r="X141" s="374">
        <v>0</v>
      </c>
      <c r="AA141" s="275"/>
    </row>
    <row r="142" spans="1:27" s="285" customFormat="1" ht="15" hidden="1" customHeight="1">
      <c r="A142" s="286"/>
      <c r="B142" s="287"/>
      <c r="C142" s="1067"/>
      <c r="D142" s="1068"/>
      <c r="E142" s="1068"/>
      <c r="F142" s="1069"/>
      <c r="G142" s="999"/>
      <c r="H142" s="499"/>
      <c r="I142" s="484" t="s">
        <v>282</v>
      </c>
      <c r="J142" s="484"/>
      <c r="K142" s="484"/>
      <c r="L142" s="447"/>
      <c r="M142" s="447"/>
      <c r="N142" s="447"/>
      <c r="O142" s="484"/>
      <c r="P142" s="484"/>
      <c r="Q142" s="411"/>
      <c r="R142" s="411"/>
      <c r="S142" s="485"/>
      <c r="T142" s="486"/>
      <c r="U142" s="485"/>
      <c r="V142" s="485"/>
      <c r="W142" s="485"/>
      <c r="X142" s="374">
        <v>0</v>
      </c>
      <c r="AA142" s="284"/>
    </row>
    <row r="143" spans="1:27" s="285" customFormat="1" ht="15" customHeight="1">
      <c r="A143" s="286"/>
      <c r="B143" s="287"/>
      <c r="C143" s="1067"/>
      <c r="D143" s="1068"/>
      <c r="E143" s="1068"/>
      <c r="F143" s="1069"/>
      <c r="G143" s="999"/>
      <c r="H143" s="499"/>
      <c r="I143" s="484" t="s">
        <v>310</v>
      </c>
      <c r="J143" s="484"/>
      <c r="K143" s="484"/>
      <c r="L143" s="447"/>
      <c r="M143" s="447"/>
      <c r="N143" s="447"/>
      <c r="O143" s="484"/>
      <c r="P143" s="484"/>
      <c r="Q143" s="411"/>
      <c r="R143" s="411"/>
      <c r="S143" s="485"/>
      <c r="T143" s="486"/>
      <c r="U143" s="485"/>
      <c r="V143" s="485"/>
      <c r="W143" s="485"/>
      <c r="X143" s="374">
        <v>2798400</v>
      </c>
      <c r="AA143" s="284"/>
    </row>
    <row r="144" spans="1:27" s="19" customFormat="1" ht="15" customHeight="1">
      <c r="A144" s="28"/>
      <c r="B144" s="297"/>
      <c r="C144" s="1067"/>
      <c r="D144" s="1068"/>
      <c r="E144" s="1068"/>
      <c r="F144" s="1069"/>
      <c r="G144" s="999"/>
      <c r="H144" s="499"/>
      <c r="I144" s="484" t="s">
        <v>307</v>
      </c>
      <c r="J144" s="484"/>
      <c r="K144" s="484"/>
      <c r="L144" s="447"/>
      <c r="M144" s="447"/>
      <c r="N144" s="447"/>
      <c r="O144" s="484"/>
      <c r="P144" s="484"/>
      <c r="Q144" s="411"/>
      <c r="R144" s="411"/>
      <c r="S144" s="485"/>
      <c r="T144" s="486"/>
      <c r="U144" s="485"/>
      <c r="V144" s="485"/>
      <c r="W144" s="485"/>
      <c r="X144" s="374">
        <v>2407940</v>
      </c>
      <c r="AA144" s="22"/>
    </row>
    <row r="145" spans="1:27" s="19" customFormat="1" ht="13.5" customHeight="1">
      <c r="A145" s="28"/>
      <c r="B145" s="297"/>
      <c r="C145" s="1067"/>
      <c r="D145" s="1068"/>
      <c r="E145" s="1068"/>
      <c r="F145" s="1069"/>
      <c r="G145" s="999"/>
      <c r="H145" s="499"/>
      <c r="I145" s="484" t="s">
        <v>142</v>
      </c>
      <c r="J145" s="484"/>
      <c r="K145" s="484"/>
      <c r="L145" s="447"/>
      <c r="M145" s="447"/>
      <c r="N145" s="447"/>
      <c r="O145" s="484"/>
      <c r="P145" s="484"/>
      <c r="Q145" s="411"/>
      <c r="R145" s="411"/>
      <c r="S145" s="485"/>
      <c r="T145" s="486"/>
      <c r="U145" s="485"/>
      <c r="V145" s="485"/>
      <c r="W145" s="485"/>
      <c r="X145" s="374">
        <v>2484462</v>
      </c>
      <c r="AA145" s="22"/>
    </row>
    <row r="146" spans="1:27" s="19" customFormat="1" ht="13.5" customHeight="1">
      <c r="A146" s="28"/>
      <c r="B146" s="297"/>
      <c r="C146" s="1067"/>
      <c r="D146" s="1068"/>
      <c r="E146" s="1068"/>
      <c r="F146" s="1069"/>
      <c r="G146" s="999"/>
      <c r="H146" s="499"/>
      <c r="I146" s="484" t="s">
        <v>311</v>
      </c>
      <c r="J146" s="484"/>
      <c r="K146" s="484"/>
      <c r="L146" s="447"/>
      <c r="M146" s="447"/>
      <c r="N146" s="447"/>
      <c r="O146" s="484"/>
      <c r="P146" s="484"/>
      <c r="Q146" s="411"/>
      <c r="R146" s="451"/>
      <c r="S146" s="757"/>
      <c r="T146" s="486"/>
      <c r="U146" s="485"/>
      <c r="V146" s="608"/>
      <c r="W146" s="608"/>
      <c r="X146" s="374">
        <v>877645</v>
      </c>
      <c r="AA146" s="22"/>
    </row>
    <row r="147" spans="1:27" s="19" customFormat="1" ht="13.5" customHeight="1">
      <c r="A147" s="28"/>
      <c r="B147" s="297"/>
      <c r="C147" s="1067"/>
      <c r="D147" s="1068"/>
      <c r="E147" s="1068"/>
      <c r="F147" s="1069"/>
      <c r="G147" s="999"/>
      <c r="H147" s="499"/>
      <c r="I147" s="484" t="s">
        <v>131</v>
      </c>
      <c r="J147" s="484"/>
      <c r="K147" s="484"/>
      <c r="L147" s="447"/>
      <c r="M147" s="447"/>
      <c r="N147" s="447"/>
      <c r="O147" s="484"/>
      <c r="P147" s="484"/>
      <c r="Q147" s="411"/>
      <c r="R147" s="451"/>
      <c r="S147" s="757"/>
      <c r="T147" s="486"/>
      <c r="U147" s="485"/>
      <c r="V147" s="608"/>
      <c r="W147" s="608"/>
      <c r="X147" s="374">
        <v>2142828</v>
      </c>
      <c r="AA147" s="22"/>
    </row>
    <row r="148" spans="1:27" s="19" customFormat="1" ht="13.5" hidden="1" customHeight="1">
      <c r="A148" s="28"/>
      <c r="B148" s="297"/>
      <c r="C148" s="1067"/>
      <c r="D148" s="1068"/>
      <c r="E148" s="1068"/>
      <c r="F148" s="1069"/>
      <c r="G148" s="999"/>
      <c r="H148" s="499"/>
      <c r="I148" s="484" t="s">
        <v>160</v>
      </c>
      <c r="J148" s="484"/>
      <c r="K148" s="484"/>
      <c r="L148" s="447"/>
      <c r="M148" s="447"/>
      <c r="N148" s="447"/>
      <c r="O148" s="484"/>
      <c r="P148" s="484"/>
      <c r="Q148" s="411">
        <v>200000</v>
      </c>
      <c r="R148" s="451" t="s">
        <v>56</v>
      </c>
      <c r="S148" s="757">
        <v>6</v>
      </c>
      <c r="T148" s="486" t="s">
        <v>52</v>
      </c>
      <c r="U148" s="485"/>
      <c r="V148" s="608"/>
      <c r="W148" s="608"/>
      <c r="X148" s="374">
        <v>0</v>
      </c>
      <c r="AA148" s="22"/>
    </row>
    <row r="149" spans="1:27" s="19" customFormat="1" ht="13.5" hidden="1" customHeight="1">
      <c r="A149" s="28"/>
      <c r="B149" s="297"/>
      <c r="C149" s="1067"/>
      <c r="D149" s="1068"/>
      <c r="E149" s="1068"/>
      <c r="F149" s="1069"/>
      <c r="G149" s="999"/>
      <c r="H149" s="499"/>
      <c r="I149" s="484" t="s">
        <v>312</v>
      </c>
      <c r="J149" s="484"/>
      <c r="K149" s="484"/>
      <c r="L149" s="447"/>
      <c r="M149" s="447"/>
      <c r="N149" s="447"/>
      <c r="O149" s="484"/>
      <c r="P149" s="484"/>
      <c r="Q149" s="411">
        <v>200000</v>
      </c>
      <c r="R149" s="451" t="s">
        <v>56</v>
      </c>
      <c r="S149" s="757">
        <v>3</v>
      </c>
      <c r="T149" s="486" t="s">
        <v>52</v>
      </c>
      <c r="U149" s="485"/>
      <c r="V149" s="608"/>
      <c r="W149" s="608"/>
      <c r="X149" s="374">
        <v>0</v>
      </c>
      <c r="AA149" s="22"/>
    </row>
    <row r="150" spans="1:27" s="19" customFormat="1" ht="13.5" hidden="1" customHeight="1">
      <c r="A150" s="28"/>
      <c r="B150" s="297"/>
      <c r="C150" s="1067"/>
      <c r="D150" s="1068"/>
      <c r="E150" s="1068"/>
      <c r="F150" s="1069"/>
      <c r="G150" s="999"/>
      <c r="H150" s="499"/>
      <c r="I150" s="450" t="s">
        <v>133</v>
      </c>
      <c r="J150" s="484"/>
      <c r="K150" s="484"/>
      <c r="L150" s="484"/>
      <c r="M150" s="484"/>
      <c r="N150" s="484"/>
      <c r="O150" s="484"/>
      <c r="P150" s="484"/>
      <c r="Q150" s="411">
        <v>12900</v>
      </c>
      <c r="R150" s="411" t="s">
        <v>56</v>
      </c>
      <c r="S150" s="485">
        <v>12</v>
      </c>
      <c r="T150" s="486"/>
      <c r="U150" s="527"/>
      <c r="V150" s="527"/>
      <c r="W150" s="527"/>
      <c r="X150" s="374">
        <v>0</v>
      </c>
      <c r="AA150" s="22"/>
    </row>
    <row r="151" spans="1:27" s="19" customFormat="1" ht="15" customHeight="1">
      <c r="A151" s="28"/>
      <c r="B151" s="297"/>
      <c r="C151" s="1067"/>
      <c r="D151" s="1068"/>
      <c r="E151" s="1068"/>
      <c r="F151" s="1069"/>
      <c r="G151" s="999"/>
      <c r="H151" s="499"/>
      <c r="I151" s="450" t="s">
        <v>170</v>
      </c>
      <c r="J151" s="484"/>
      <c r="K151" s="484"/>
      <c r="L151" s="484"/>
      <c r="M151" s="484"/>
      <c r="N151" s="484"/>
      <c r="O151" s="484"/>
      <c r="P151" s="484"/>
      <c r="Q151" s="411"/>
      <c r="R151" s="411"/>
      <c r="S151" s="485"/>
      <c r="T151" s="486"/>
      <c r="U151" s="527"/>
      <c r="V151" s="527"/>
      <c r="W151" s="527"/>
      <c r="X151" s="374">
        <v>328055</v>
      </c>
      <c r="AA151" s="22"/>
    </row>
    <row r="152" spans="1:27" s="19" customFormat="1" ht="13.5" customHeight="1">
      <c r="A152" s="28"/>
      <c r="B152" s="297"/>
      <c r="C152" s="1067"/>
      <c r="D152" s="1068"/>
      <c r="E152" s="1068"/>
      <c r="F152" s="1069"/>
      <c r="G152" s="999"/>
      <c r="H152" s="499"/>
      <c r="I152" s="450" t="s">
        <v>152</v>
      </c>
      <c r="J152" s="484"/>
      <c r="K152" s="484"/>
      <c r="L152" s="484"/>
      <c r="M152" s="484"/>
      <c r="N152" s="484"/>
      <c r="O152" s="484"/>
      <c r="P152" s="484"/>
      <c r="Q152" s="411"/>
      <c r="R152" s="411"/>
      <c r="S152" s="485"/>
      <c r="T152" s="486"/>
      <c r="U152" s="485"/>
      <c r="V152" s="485"/>
      <c r="W152" s="485"/>
      <c r="X152" s="758">
        <v>1341615</v>
      </c>
      <c r="AA152" s="22"/>
    </row>
    <row r="153" spans="1:27" s="19" customFormat="1" ht="13.5" customHeight="1">
      <c r="A153" s="28"/>
      <c r="B153" s="297"/>
      <c r="C153" s="1067"/>
      <c r="D153" s="1068"/>
      <c r="E153" s="1068"/>
      <c r="F153" s="1069"/>
      <c r="G153" s="999"/>
      <c r="H153" s="719"/>
      <c r="I153" s="484" t="s">
        <v>313</v>
      </c>
      <c r="J153" s="484"/>
      <c r="K153" s="484"/>
      <c r="L153" s="447"/>
      <c r="M153" s="447"/>
      <c r="N153" s="447"/>
      <c r="O153" s="484"/>
      <c r="P153" s="484"/>
      <c r="Q153" s="411">
        <v>97600</v>
      </c>
      <c r="R153" s="451" t="s">
        <v>56</v>
      </c>
      <c r="S153" s="485">
        <v>1</v>
      </c>
      <c r="T153" s="486" t="s">
        <v>52</v>
      </c>
      <c r="U153" s="485"/>
      <c r="V153" s="485"/>
      <c r="W153" s="485"/>
      <c r="X153" s="400">
        <f>2926280+234800</f>
        <v>3161080</v>
      </c>
      <c r="AA153" s="22"/>
    </row>
    <row r="154" spans="1:27" s="19" customFormat="1" ht="15" hidden="1" customHeight="1">
      <c r="A154" s="28"/>
      <c r="B154" s="297"/>
      <c r="C154" s="1067"/>
      <c r="D154" s="1068"/>
      <c r="E154" s="1068"/>
      <c r="F154" s="1069"/>
      <c r="G154" s="999"/>
      <c r="H154" s="499"/>
      <c r="I154" s="450" t="s">
        <v>312</v>
      </c>
      <c r="J154" s="484"/>
      <c r="K154" s="484"/>
      <c r="L154" s="484"/>
      <c r="M154" s="484"/>
      <c r="N154" s="484"/>
      <c r="O154" s="484"/>
      <c r="P154" s="484"/>
      <c r="Q154" s="411"/>
      <c r="R154" s="451"/>
      <c r="S154" s="485"/>
      <c r="T154" s="486"/>
      <c r="U154" s="527"/>
      <c r="V154" s="527"/>
      <c r="W154" s="527"/>
      <c r="X154" s="374">
        <v>0</v>
      </c>
      <c r="AA154" s="22"/>
    </row>
    <row r="155" spans="1:27" s="19" customFormat="1" ht="13.5" customHeight="1">
      <c r="A155" s="28"/>
      <c r="B155" s="297"/>
      <c r="C155" s="1067"/>
      <c r="D155" s="1068"/>
      <c r="E155" s="1068"/>
      <c r="F155" s="1069"/>
      <c r="G155" s="1000"/>
      <c r="H155" s="499"/>
      <c r="I155" s="450" t="s">
        <v>314</v>
      </c>
      <c r="J155" s="484"/>
      <c r="K155" s="484"/>
      <c r="L155" s="484"/>
      <c r="M155" s="484"/>
      <c r="N155" s="484"/>
      <c r="O155" s="484"/>
      <c r="P155" s="484"/>
      <c r="Q155" s="411"/>
      <c r="R155" s="451"/>
      <c r="S155" s="485"/>
      <c r="T155" s="486"/>
      <c r="U155" s="527"/>
      <c r="V155" s="527"/>
      <c r="W155" s="527"/>
      <c r="X155" s="374">
        <v>1887730</v>
      </c>
      <c r="AA155" s="22"/>
    </row>
    <row r="156" spans="1:27" s="19" customFormat="1" ht="13.5" customHeight="1">
      <c r="A156" s="28"/>
      <c r="B156" s="297"/>
      <c r="C156" s="1032" t="s">
        <v>65</v>
      </c>
      <c r="D156" s="989">
        <f>1451535/1000</f>
        <v>1451.5350000000001</v>
      </c>
      <c r="E156" s="989">
        <f>+X156/1000</f>
        <v>1547.4749999999999</v>
      </c>
      <c r="F156" s="989">
        <f>+E156-D156</f>
        <v>95.939999999999827</v>
      </c>
      <c r="G156" s="1056">
        <f>E156/D156</f>
        <v>1.0660955471276958</v>
      </c>
      <c r="H156" s="599"/>
      <c r="I156" s="600" t="s">
        <v>65</v>
      </c>
      <c r="J156" s="600"/>
      <c r="K156" s="600"/>
      <c r="L156" s="600"/>
      <c r="M156" s="600"/>
      <c r="N156" s="600"/>
      <c r="O156" s="601"/>
      <c r="P156" s="601"/>
      <c r="Q156" s="602"/>
      <c r="R156" s="602"/>
      <c r="S156" s="603"/>
      <c r="T156" s="604"/>
      <c r="U156" s="605"/>
      <c r="V156" s="605"/>
      <c r="W156" s="605" t="s">
        <v>50</v>
      </c>
      <c r="X156" s="392">
        <f>SUM(X157:X165)</f>
        <v>1547475</v>
      </c>
    </row>
    <row r="157" spans="1:27" s="19" customFormat="1" ht="13.5" hidden="1" customHeight="1">
      <c r="A157" s="28"/>
      <c r="B157" s="297"/>
      <c r="C157" s="1033"/>
      <c r="D157" s="990"/>
      <c r="E157" s="990"/>
      <c r="F157" s="990"/>
      <c r="G157" s="1058"/>
      <c r="H157" s="606"/>
      <c r="I157" s="484" t="s">
        <v>130</v>
      </c>
      <c r="J157" s="447"/>
      <c r="K157" s="447"/>
      <c r="L157" s="447"/>
      <c r="M157" s="447"/>
      <c r="N157" s="447"/>
      <c r="O157" s="484"/>
      <c r="P157" s="484"/>
      <c r="Q157" s="411"/>
      <c r="R157" s="411"/>
      <c r="S157" s="607"/>
      <c r="T157" s="607"/>
      <c r="U157" s="608"/>
      <c r="V157" s="608"/>
      <c r="W157" s="608"/>
      <c r="X157" s="374">
        <v>0</v>
      </c>
    </row>
    <row r="158" spans="1:27" s="19" customFormat="1" ht="13.5" hidden="1" customHeight="1">
      <c r="A158" s="28"/>
      <c r="B158" s="297"/>
      <c r="C158" s="1033"/>
      <c r="D158" s="990"/>
      <c r="E158" s="990"/>
      <c r="F158" s="990"/>
      <c r="G158" s="1058"/>
      <c r="H158" s="609"/>
      <c r="I158" s="458" t="s">
        <v>130</v>
      </c>
      <c r="J158" s="455"/>
      <c r="K158" s="455"/>
      <c r="L158" s="455"/>
      <c r="M158" s="455"/>
      <c r="N158" s="455"/>
      <c r="O158" s="458"/>
      <c r="P158" s="458"/>
      <c r="Q158" s="535"/>
      <c r="R158" s="535"/>
      <c r="S158" s="610"/>
      <c r="T158" s="610"/>
      <c r="U158" s="556"/>
      <c r="V158" s="556"/>
      <c r="W158" s="556"/>
      <c r="X158" s="376">
        <v>0</v>
      </c>
    </row>
    <row r="159" spans="1:27" s="19" customFormat="1" ht="13.5" hidden="1" customHeight="1">
      <c r="A159" s="28"/>
      <c r="B159" s="297"/>
      <c r="C159" s="1033"/>
      <c r="D159" s="990"/>
      <c r="E159" s="990"/>
      <c r="F159" s="990"/>
      <c r="G159" s="1058"/>
      <c r="H159" s="606"/>
      <c r="I159" s="484" t="s">
        <v>124</v>
      </c>
      <c r="J159" s="484"/>
      <c r="K159" s="484"/>
      <c r="L159" s="447"/>
      <c r="M159" s="447"/>
      <c r="N159" s="447"/>
      <c r="O159" s="484"/>
      <c r="P159" s="484"/>
      <c r="Q159" s="411"/>
      <c r="R159" s="411"/>
      <c r="S159" s="611"/>
      <c r="T159" s="607"/>
      <c r="U159" s="608"/>
      <c r="V159" s="608"/>
      <c r="W159" s="608"/>
      <c r="X159" s="374">
        <f>308400+50000+145470</f>
        <v>503870</v>
      </c>
    </row>
    <row r="160" spans="1:27" s="19" customFormat="1" ht="13.5" hidden="1" customHeight="1">
      <c r="A160" s="28"/>
      <c r="B160" s="297"/>
      <c r="C160" s="1033"/>
      <c r="D160" s="990"/>
      <c r="E160" s="990"/>
      <c r="F160" s="990"/>
      <c r="G160" s="1058"/>
      <c r="H160" s="606"/>
      <c r="I160" s="484" t="s">
        <v>315</v>
      </c>
      <c r="J160" s="484"/>
      <c r="K160" s="484"/>
      <c r="L160" s="447"/>
      <c r="M160" s="447"/>
      <c r="N160" s="447"/>
      <c r="O160" s="484"/>
      <c r="P160" s="484"/>
      <c r="Q160" s="411"/>
      <c r="R160" s="411"/>
      <c r="S160" s="611"/>
      <c r="T160" s="607"/>
      <c r="U160" s="608"/>
      <c r="V160" s="608"/>
      <c r="W160" s="608"/>
      <c r="X160" s="374">
        <v>0</v>
      </c>
    </row>
    <row r="161" spans="1:24" s="19" customFormat="1" ht="13.5" hidden="1" customHeight="1">
      <c r="A161" s="28"/>
      <c r="B161" s="297"/>
      <c r="C161" s="1033"/>
      <c r="D161" s="990"/>
      <c r="E161" s="990"/>
      <c r="F161" s="990"/>
      <c r="G161" s="1058"/>
      <c r="H161" s="609"/>
      <c r="I161" s="458" t="s">
        <v>124</v>
      </c>
      <c r="J161" s="458"/>
      <c r="K161" s="458"/>
      <c r="L161" s="455"/>
      <c r="M161" s="455"/>
      <c r="N161" s="455"/>
      <c r="O161" s="458"/>
      <c r="P161" s="458"/>
      <c r="Q161" s="535"/>
      <c r="R161" s="535"/>
      <c r="S161" s="612"/>
      <c r="T161" s="610"/>
      <c r="U161" s="556"/>
      <c r="V161" s="556"/>
      <c r="W161" s="556"/>
      <c r="X161" s="376">
        <v>159600</v>
      </c>
    </row>
    <row r="162" spans="1:24" s="19" customFormat="1" ht="13.5" hidden="1" customHeight="1">
      <c r="A162" s="28"/>
      <c r="B162" s="297"/>
      <c r="C162" s="1033"/>
      <c r="D162" s="990"/>
      <c r="E162" s="990"/>
      <c r="F162" s="990"/>
      <c r="G162" s="1058"/>
      <c r="H162" s="613"/>
      <c r="I162" s="614" t="s">
        <v>315</v>
      </c>
      <c r="J162" s="615"/>
      <c r="K162" s="615"/>
      <c r="L162" s="615"/>
      <c r="M162" s="615"/>
      <c r="N162" s="615"/>
      <c r="O162" s="615"/>
      <c r="P162" s="615"/>
      <c r="Q162" s="616"/>
      <c r="R162" s="616"/>
      <c r="S162" s="617"/>
      <c r="T162" s="618"/>
      <c r="U162" s="617"/>
      <c r="V162" s="617"/>
      <c r="W162" s="617"/>
      <c r="X162" s="393">
        <v>155000</v>
      </c>
    </row>
    <row r="163" spans="1:24" s="19" customFormat="1" ht="13.5" hidden="1" customHeight="1">
      <c r="A163" s="28"/>
      <c r="B163" s="297"/>
      <c r="C163" s="1033"/>
      <c r="D163" s="990"/>
      <c r="E163" s="990"/>
      <c r="F163" s="990"/>
      <c r="G163" s="1058"/>
      <c r="H163" s="544"/>
      <c r="I163" s="462" t="s">
        <v>124</v>
      </c>
      <c r="J163" s="464"/>
      <c r="K163" s="464"/>
      <c r="L163" s="464"/>
      <c r="M163" s="464"/>
      <c r="N163" s="464"/>
      <c r="O163" s="464"/>
      <c r="P163" s="464"/>
      <c r="Q163" s="545"/>
      <c r="R163" s="545"/>
      <c r="S163" s="546"/>
      <c r="T163" s="463"/>
      <c r="U163" s="546"/>
      <c r="V163" s="546"/>
      <c r="W163" s="546"/>
      <c r="X163" s="385">
        <v>0</v>
      </c>
    </row>
    <row r="164" spans="1:24" s="19" customFormat="1" ht="13.5" hidden="1" customHeight="1">
      <c r="A164" s="28"/>
      <c r="B164" s="297"/>
      <c r="C164" s="1033"/>
      <c r="D164" s="990"/>
      <c r="E164" s="990"/>
      <c r="F164" s="990"/>
      <c r="G164" s="1058"/>
      <c r="H164" s="619"/>
      <c r="I164" s="469" t="s">
        <v>124</v>
      </c>
      <c r="J164" s="469"/>
      <c r="K164" s="469"/>
      <c r="L164" s="504"/>
      <c r="M164" s="504"/>
      <c r="N164" s="504"/>
      <c r="O164" s="469"/>
      <c r="P164" s="469"/>
      <c r="Q164" s="552"/>
      <c r="R164" s="552"/>
      <c r="S164" s="620"/>
      <c r="T164" s="621"/>
      <c r="U164" s="622"/>
      <c r="V164" s="622"/>
      <c r="W164" s="622"/>
      <c r="X164" s="382">
        <v>145470</v>
      </c>
    </row>
    <row r="165" spans="1:24" s="19" customFormat="1" ht="13.5" hidden="1" customHeight="1">
      <c r="A165" s="28"/>
      <c r="B165" s="297"/>
      <c r="C165" s="1034"/>
      <c r="D165" s="1031"/>
      <c r="E165" s="1031"/>
      <c r="F165" s="1031"/>
      <c r="G165" s="1059"/>
      <c r="H165" s="623"/>
      <c r="I165" s="624" t="s">
        <v>124</v>
      </c>
      <c r="J165" s="624"/>
      <c r="K165" s="624"/>
      <c r="L165" s="625"/>
      <c r="M165" s="625"/>
      <c r="N165" s="625"/>
      <c r="O165" s="624"/>
      <c r="P165" s="624"/>
      <c r="Q165" s="626"/>
      <c r="R165" s="626"/>
      <c r="S165" s="627"/>
      <c r="T165" s="628"/>
      <c r="U165" s="629"/>
      <c r="V165" s="629"/>
      <c r="W165" s="629"/>
      <c r="X165" s="394">
        <v>583535</v>
      </c>
    </row>
    <row r="166" spans="1:24" s="19" customFormat="1" ht="13.5" customHeight="1">
      <c r="A166" s="28"/>
      <c r="B166" s="297"/>
      <c r="C166" s="1067" t="s">
        <v>96</v>
      </c>
      <c r="D166" s="1068">
        <f>17189356/1000</f>
        <v>17189.356</v>
      </c>
      <c r="E166" s="1068">
        <f>+X166/1000</f>
        <v>12961.531999999999</v>
      </c>
      <c r="F166" s="1068">
        <f>+E166-D166</f>
        <v>-4227.8240000000005</v>
      </c>
      <c r="G166" s="998">
        <f>E166/D166</f>
        <v>0.75404407238991378</v>
      </c>
      <c r="H166" s="630"/>
      <c r="I166" s="440" t="s">
        <v>96</v>
      </c>
      <c r="J166" s="440"/>
      <c r="K166" s="440"/>
      <c r="L166" s="440"/>
      <c r="M166" s="440"/>
      <c r="N166" s="440"/>
      <c r="O166" s="480"/>
      <c r="P166" s="480"/>
      <c r="Q166" s="481"/>
      <c r="R166" s="481"/>
      <c r="S166" s="631"/>
      <c r="T166" s="483"/>
      <c r="U166" s="444"/>
      <c r="V166" s="444"/>
      <c r="W166" s="444" t="s">
        <v>50</v>
      </c>
      <c r="X166" s="372">
        <f>SUM(X167:X181)</f>
        <v>12961532</v>
      </c>
    </row>
    <row r="167" spans="1:24" s="19" customFormat="1" ht="13.5" customHeight="1">
      <c r="A167" s="28"/>
      <c r="B167" s="297"/>
      <c r="C167" s="1067"/>
      <c r="D167" s="1068"/>
      <c r="E167" s="1068"/>
      <c r="F167" s="1069"/>
      <c r="G167" s="999"/>
      <c r="H167" s="606"/>
      <c r="I167" s="484" t="s">
        <v>119</v>
      </c>
      <c r="J167" s="484"/>
      <c r="K167" s="484"/>
      <c r="L167" s="447"/>
      <c r="M167" s="447"/>
      <c r="N167" s="447"/>
      <c r="O167" s="484"/>
      <c r="P167" s="484"/>
      <c r="Q167" s="411"/>
      <c r="R167" s="451"/>
      <c r="S167" s="485"/>
      <c r="T167" s="486"/>
      <c r="U167" s="608"/>
      <c r="V167" s="608"/>
      <c r="W167" s="608"/>
      <c r="X167" s="374">
        <v>273975</v>
      </c>
    </row>
    <row r="168" spans="1:24" s="19" customFormat="1" ht="13.5" customHeight="1">
      <c r="A168" s="28"/>
      <c r="B168" s="297"/>
      <c r="C168" s="1067"/>
      <c r="D168" s="1068"/>
      <c r="E168" s="1068"/>
      <c r="F168" s="1069"/>
      <c r="G168" s="999"/>
      <c r="H168" s="606"/>
      <c r="I168" s="484" t="s">
        <v>366</v>
      </c>
      <c r="J168" s="484"/>
      <c r="K168" s="484"/>
      <c r="L168" s="447"/>
      <c r="M168" s="447"/>
      <c r="N168" s="447"/>
      <c r="O168" s="484"/>
      <c r="P168" s="484"/>
      <c r="Q168" s="411"/>
      <c r="R168" s="451"/>
      <c r="S168" s="678"/>
      <c r="T168" s="486"/>
      <c r="U168" s="608"/>
      <c r="V168" s="608"/>
      <c r="W168" s="608"/>
      <c r="X168" s="374">
        <f>2190530+356341</f>
        <v>2546871</v>
      </c>
    </row>
    <row r="169" spans="1:24" s="19" customFormat="1" ht="13.5" customHeight="1">
      <c r="A169" s="28"/>
      <c r="B169" s="297"/>
      <c r="C169" s="1067"/>
      <c r="D169" s="1068"/>
      <c r="E169" s="1068"/>
      <c r="F169" s="1069"/>
      <c r="G169" s="999"/>
      <c r="H169" s="606"/>
      <c r="I169" s="484" t="s">
        <v>316</v>
      </c>
      <c r="J169" s="484"/>
      <c r="K169" s="484"/>
      <c r="L169" s="447"/>
      <c r="M169" s="447"/>
      <c r="N169" s="447"/>
      <c r="O169" s="484"/>
      <c r="P169" s="484"/>
      <c r="Q169" s="411"/>
      <c r="R169" s="451"/>
      <c r="S169" s="678"/>
      <c r="T169" s="486"/>
      <c r="U169" s="608"/>
      <c r="V169" s="608"/>
      <c r="W169" s="608"/>
      <c r="X169" s="374">
        <v>279791</v>
      </c>
    </row>
    <row r="170" spans="1:24" s="19" customFormat="1" ht="13.5" customHeight="1">
      <c r="A170" s="28"/>
      <c r="B170" s="297"/>
      <c r="C170" s="1067"/>
      <c r="D170" s="1068"/>
      <c r="E170" s="1068"/>
      <c r="F170" s="1069"/>
      <c r="G170" s="999"/>
      <c r="H170" s="606"/>
      <c r="I170" s="484" t="s">
        <v>76</v>
      </c>
      <c r="J170" s="484"/>
      <c r="K170" s="484"/>
      <c r="L170" s="447"/>
      <c r="M170" s="447"/>
      <c r="N170" s="447"/>
      <c r="O170" s="484"/>
      <c r="P170" s="484"/>
      <c r="Q170" s="411"/>
      <c r="R170" s="451"/>
      <c r="S170" s="485"/>
      <c r="T170" s="486"/>
      <c r="U170" s="608"/>
      <c r="V170" s="608"/>
      <c r="W170" s="608"/>
      <c r="X170" s="374">
        <v>349820</v>
      </c>
    </row>
    <row r="171" spans="1:24" s="19" customFormat="1" ht="13.5" customHeight="1">
      <c r="A171" s="28"/>
      <c r="B171" s="297"/>
      <c r="C171" s="1067"/>
      <c r="D171" s="1068"/>
      <c r="E171" s="1068"/>
      <c r="F171" s="1069"/>
      <c r="G171" s="999"/>
      <c r="H171" s="606"/>
      <c r="I171" s="484" t="s">
        <v>317</v>
      </c>
      <c r="J171" s="484"/>
      <c r="K171" s="484"/>
      <c r="L171" s="447"/>
      <c r="M171" s="447"/>
      <c r="N171" s="447"/>
      <c r="O171" s="484"/>
      <c r="P171" s="484"/>
      <c r="Q171" s="411"/>
      <c r="R171" s="451"/>
      <c r="S171" s="485"/>
      <c r="T171" s="486"/>
      <c r="U171" s="608"/>
      <c r="V171" s="608"/>
      <c r="W171" s="608"/>
      <c r="X171" s="374">
        <v>1793795</v>
      </c>
    </row>
    <row r="172" spans="1:24" s="19" customFormat="1" ht="13.5" customHeight="1">
      <c r="A172" s="28"/>
      <c r="B172" s="297"/>
      <c r="C172" s="1067"/>
      <c r="D172" s="1068"/>
      <c r="E172" s="1068"/>
      <c r="F172" s="1068"/>
      <c r="G172" s="999"/>
      <c r="H172" s="606"/>
      <c r="I172" s="484" t="s">
        <v>108</v>
      </c>
      <c r="J172" s="484"/>
      <c r="K172" s="484"/>
      <c r="L172" s="447"/>
      <c r="M172" s="447"/>
      <c r="N172" s="447"/>
      <c r="O172" s="484"/>
      <c r="P172" s="484"/>
      <c r="Q172" s="411"/>
      <c r="R172" s="451"/>
      <c r="S172" s="485"/>
      <c r="T172" s="486"/>
      <c r="U172" s="608"/>
      <c r="V172" s="608"/>
      <c r="W172" s="608"/>
      <c r="X172" s="374">
        <v>954625</v>
      </c>
    </row>
    <row r="173" spans="1:24" s="19" customFormat="1" ht="13.5" customHeight="1">
      <c r="A173" s="28"/>
      <c r="B173" s="297"/>
      <c r="C173" s="1067"/>
      <c r="D173" s="1068"/>
      <c r="E173" s="1068"/>
      <c r="F173" s="1069"/>
      <c r="G173" s="999"/>
      <c r="H173" s="606"/>
      <c r="I173" s="484" t="s">
        <v>87</v>
      </c>
      <c r="J173" s="484"/>
      <c r="K173" s="484"/>
      <c r="L173" s="447"/>
      <c r="M173" s="447"/>
      <c r="N173" s="447"/>
      <c r="O173" s="484"/>
      <c r="P173" s="484"/>
      <c r="Q173" s="411"/>
      <c r="R173" s="451"/>
      <c r="S173" s="452"/>
      <c r="T173" s="486"/>
      <c r="U173" s="485"/>
      <c r="V173" s="608"/>
      <c r="W173" s="608"/>
      <c r="X173" s="374">
        <v>1014740</v>
      </c>
    </row>
    <row r="174" spans="1:24" s="19" customFormat="1" ht="13.5" customHeight="1">
      <c r="A174" s="28"/>
      <c r="B174" s="297"/>
      <c r="C174" s="1067"/>
      <c r="D174" s="1068"/>
      <c r="E174" s="1068"/>
      <c r="F174" s="1069"/>
      <c r="G174" s="999"/>
      <c r="H174" s="606"/>
      <c r="I174" s="484" t="s">
        <v>140</v>
      </c>
      <c r="J174" s="484"/>
      <c r="K174" s="484"/>
      <c r="L174" s="447"/>
      <c r="M174" s="447"/>
      <c r="N174" s="447"/>
      <c r="O174" s="484"/>
      <c r="P174" s="484"/>
      <c r="Q174" s="411"/>
      <c r="R174" s="451"/>
      <c r="S174" s="452"/>
      <c r="T174" s="486"/>
      <c r="U174" s="485"/>
      <c r="V174" s="608"/>
      <c r="W174" s="608"/>
      <c r="X174" s="374">
        <v>251760</v>
      </c>
    </row>
    <row r="175" spans="1:24" s="19" customFormat="1" ht="13.5" customHeight="1">
      <c r="A175" s="28"/>
      <c r="B175" s="297"/>
      <c r="C175" s="1067"/>
      <c r="D175" s="1068"/>
      <c r="E175" s="1068"/>
      <c r="F175" s="1069"/>
      <c r="G175" s="999"/>
      <c r="H175" s="606"/>
      <c r="I175" s="484" t="s">
        <v>68</v>
      </c>
      <c r="J175" s="484"/>
      <c r="K175" s="484"/>
      <c r="L175" s="447"/>
      <c r="M175" s="447"/>
      <c r="N175" s="447"/>
      <c r="O175" s="484"/>
      <c r="P175" s="484"/>
      <c r="Q175" s="411"/>
      <c r="R175" s="451"/>
      <c r="S175" s="452"/>
      <c r="T175" s="486"/>
      <c r="U175" s="485"/>
      <c r="V175" s="608"/>
      <c r="W175" s="608"/>
      <c r="X175" s="374">
        <v>2758800</v>
      </c>
    </row>
    <row r="176" spans="1:24" s="19" customFormat="1" ht="13.5" hidden="1" customHeight="1">
      <c r="A176" s="28"/>
      <c r="B176" s="297"/>
      <c r="C176" s="1067"/>
      <c r="D176" s="1068"/>
      <c r="E176" s="1068"/>
      <c r="F176" s="1069"/>
      <c r="G176" s="999"/>
      <c r="H176" s="606"/>
      <c r="I176" s="484"/>
      <c r="J176" s="484"/>
      <c r="K176" s="484"/>
      <c r="L176" s="447"/>
      <c r="M176" s="447"/>
      <c r="N176" s="447"/>
      <c r="O176" s="484"/>
      <c r="P176" s="484"/>
      <c r="Q176" s="411"/>
      <c r="R176" s="451"/>
      <c r="S176" s="452"/>
      <c r="T176" s="486"/>
      <c r="U176" s="485"/>
      <c r="V176" s="608"/>
      <c r="W176" s="608"/>
      <c r="X176" s="374"/>
    </row>
    <row r="177" spans="1:24" s="19" customFormat="1" ht="13.5" customHeight="1">
      <c r="A177" s="28"/>
      <c r="B177" s="297"/>
      <c r="C177" s="1067"/>
      <c r="D177" s="1068"/>
      <c r="E177" s="1068"/>
      <c r="F177" s="1069"/>
      <c r="G177" s="999"/>
      <c r="H177" s="606"/>
      <c r="I177" s="484" t="s">
        <v>318</v>
      </c>
      <c r="J177" s="484"/>
      <c r="K177" s="484"/>
      <c r="L177" s="447"/>
      <c r="M177" s="447"/>
      <c r="N177" s="447"/>
      <c r="O177" s="484"/>
      <c r="P177" s="484"/>
      <c r="Q177" s="411"/>
      <c r="R177" s="451"/>
      <c r="S177" s="757"/>
      <c r="T177" s="486"/>
      <c r="U177" s="485"/>
      <c r="V177" s="608"/>
      <c r="W177" s="608"/>
      <c r="X177" s="374">
        <v>297000</v>
      </c>
    </row>
    <row r="178" spans="1:24" s="19" customFormat="1" ht="13.5" customHeight="1">
      <c r="A178" s="28"/>
      <c r="B178" s="297"/>
      <c r="C178" s="1067"/>
      <c r="D178" s="1068"/>
      <c r="E178" s="1068"/>
      <c r="F178" s="1069"/>
      <c r="G178" s="999"/>
      <c r="H178" s="606"/>
      <c r="I178" s="484" t="s">
        <v>319</v>
      </c>
      <c r="J178" s="484"/>
      <c r="K178" s="484"/>
      <c r="L178" s="447"/>
      <c r="M178" s="447"/>
      <c r="N178" s="447"/>
      <c r="O178" s="484"/>
      <c r="P178" s="484"/>
      <c r="Q178" s="411"/>
      <c r="R178" s="451"/>
      <c r="S178" s="452"/>
      <c r="T178" s="486"/>
      <c r="U178" s="485"/>
      <c r="V178" s="608"/>
      <c r="W178" s="608"/>
      <c r="X178" s="374">
        <f>1787895+50000</f>
        <v>1837895</v>
      </c>
    </row>
    <row r="179" spans="1:24" s="19" customFormat="1" ht="13.5" customHeight="1">
      <c r="A179" s="28"/>
      <c r="B179" s="297"/>
      <c r="C179" s="1067"/>
      <c r="D179" s="1068"/>
      <c r="E179" s="1068"/>
      <c r="F179" s="1069"/>
      <c r="G179" s="999"/>
      <c r="H179" s="606"/>
      <c r="I179" s="484" t="s">
        <v>320</v>
      </c>
      <c r="J179" s="484"/>
      <c r="K179" s="484"/>
      <c r="L179" s="447"/>
      <c r="M179" s="447"/>
      <c r="N179" s="447"/>
      <c r="O179" s="484"/>
      <c r="P179" s="484"/>
      <c r="Q179" s="411"/>
      <c r="R179" s="451"/>
      <c r="S179" s="452"/>
      <c r="T179" s="486"/>
      <c r="U179" s="485"/>
      <c r="V179" s="608"/>
      <c r="W179" s="608"/>
      <c r="X179" s="374">
        <v>8460</v>
      </c>
    </row>
    <row r="180" spans="1:24" s="19" customFormat="1" ht="13.5" hidden="1" customHeight="1">
      <c r="A180" s="28"/>
      <c r="B180" s="297"/>
      <c r="C180" s="1067"/>
      <c r="D180" s="1068"/>
      <c r="E180" s="1068"/>
      <c r="F180" s="1069"/>
      <c r="G180" s="999"/>
      <c r="H180" s="606"/>
      <c r="I180" s="484" t="s">
        <v>321</v>
      </c>
      <c r="J180" s="484"/>
      <c r="K180" s="484"/>
      <c r="L180" s="447"/>
      <c r="M180" s="447"/>
      <c r="N180" s="447"/>
      <c r="O180" s="484"/>
      <c r="P180" s="484"/>
      <c r="Q180" s="411">
        <v>30000</v>
      </c>
      <c r="R180" s="451" t="s">
        <v>322</v>
      </c>
      <c r="S180" s="757">
        <v>6</v>
      </c>
      <c r="T180" s="486" t="s">
        <v>52</v>
      </c>
      <c r="U180" s="485"/>
      <c r="V180" s="608"/>
      <c r="W180" s="608"/>
      <c r="X180" s="374"/>
    </row>
    <row r="181" spans="1:24" s="19" customFormat="1" ht="13.5" customHeight="1">
      <c r="A181" s="28"/>
      <c r="B181" s="297"/>
      <c r="C181" s="1067"/>
      <c r="D181" s="1068"/>
      <c r="E181" s="1068"/>
      <c r="F181" s="1068"/>
      <c r="G181" s="1000"/>
      <c r="H181" s="759"/>
      <c r="I181" s="594" t="s">
        <v>318</v>
      </c>
      <c r="J181" s="594"/>
      <c r="K181" s="594"/>
      <c r="L181" s="595"/>
      <c r="M181" s="595"/>
      <c r="N181" s="595"/>
      <c r="O181" s="594"/>
      <c r="P181" s="594"/>
      <c r="Q181" s="655"/>
      <c r="R181" s="729"/>
      <c r="S181" s="760"/>
      <c r="T181" s="732"/>
      <c r="U181" s="761"/>
      <c r="V181" s="762"/>
      <c r="W181" s="762"/>
      <c r="X181" s="397">
        <v>594000</v>
      </c>
    </row>
    <row r="182" spans="1:24" s="19" customFormat="1" ht="13.5" customHeight="1">
      <c r="A182" s="28"/>
      <c r="B182" s="297"/>
      <c r="C182" s="1088" t="s">
        <v>91</v>
      </c>
      <c r="D182" s="1043">
        <f>4741810/1000</f>
        <v>4741.8100000000004</v>
      </c>
      <c r="E182" s="1043">
        <f>+X182/1000</f>
        <v>4220.04</v>
      </c>
      <c r="F182" s="1043">
        <f>+E182-D182</f>
        <v>-521.77000000000044</v>
      </c>
      <c r="G182" s="1056">
        <f>E182/D182</f>
        <v>0.88996395891020508</v>
      </c>
      <c r="H182" s="599"/>
      <c r="I182" s="600" t="s">
        <v>91</v>
      </c>
      <c r="J182" s="600"/>
      <c r="K182" s="600"/>
      <c r="L182" s="600"/>
      <c r="M182" s="600"/>
      <c r="N182" s="600"/>
      <c r="O182" s="601"/>
      <c r="P182" s="601"/>
      <c r="Q182" s="602"/>
      <c r="R182" s="602"/>
      <c r="S182" s="603"/>
      <c r="T182" s="604"/>
      <c r="U182" s="605"/>
      <c r="V182" s="605"/>
      <c r="W182" s="605" t="s">
        <v>50</v>
      </c>
      <c r="X182" s="392">
        <f>SUM(X183:X186)</f>
        <v>4220040</v>
      </c>
    </row>
    <row r="183" spans="1:24" s="19" customFormat="1" ht="13.5" hidden="1" customHeight="1">
      <c r="A183" s="28"/>
      <c r="B183" s="297"/>
      <c r="C183" s="1019"/>
      <c r="D183" s="1044"/>
      <c r="E183" s="1044"/>
      <c r="F183" s="1044"/>
      <c r="G183" s="1058"/>
      <c r="H183" s="623"/>
      <c r="I183" s="624" t="s">
        <v>91</v>
      </c>
      <c r="J183" s="625"/>
      <c r="K183" s="625"/>
      <c r="L183" s="625"/>
      <c r="M183" s="625"/>
      <c r="N183" s="625"/>
      <c r="O183" s="624"/>
      <c r="P183" s="624"/>
      <c r="Q183" s="626"/>
      <c r="R183" s="626"/>
      <c r="S183" s="628"/>
      <c r="T183" s="628" t="s">
        <v>73</v>
      </c>
      <c r="U183" s="629"/>
      <c r="V183" s="629"/>
      <c r="W183" s="629"/>
      <c r="X183" s="394">
        <v>0</v>
      </c>
    </row>
    <row r="184" spans="1:24" s="19" customFormat="1" ht="13.5" hidden="1" customHeight="1">
      <c r="A184" s="28"/>
      <c r="B184" s="297"/>
      <c r="C184" s="1019"/>
      <c r="D184" s="1044"/>
      <c r="E184" s="1044"/>
      <c r="F184" s="1044"/>
      <c r="G184" s="1058"/>
      <c r="H184" s="623"/>
      <c r="I184" s="624" t="s">
        <v>91</v>
      </c>
      <c r="J184" s="625"/>
      <c r="K184" s="625"/>
      <c r="L184" s="625"/>
      <c r="M184" s="625"/>
      <c r="N184" s="625"/>
      <c r="O184" s="624"/>
      <c r="P184" s="624"/>
      <c r="Q184" s="626"/>
      <c r="R184" s="626"/>
      <c r="S184" s="628"/>
      <c r="T184" s="628"/>
      <c r="U184" s="629"/>
      <c r="V184" s="629"/>
      <c r="W184" s="629"/>
      <c r="X184" s="394">
        <v>2000000</v>
      </c>
    </row>
    <row r="185" spans="1:24" s="19" customFormat="1" ht="13.5" hidden="1" customHeight="1">
      <c r="A185" s="28"/>
      <c r="B185" s="297"/>
      <c r="C185" s="1019"/>
      <c r="D185" s="1044"/>
      <c r="E185" s="1044"/>
      <c r="F185" s="1044"/>
      <c r="G185" s="1058"/>
      <c r="H185" s="609"/>
      <c r="I185" s="458" t="s">
        <v>91</v>
      </c>
      <c r="J185" s="458"/>
      <c r="K185" s="458"/>
      <c r="L185" s="455"/>
      <c r="M185" s="455"/>
      <c r="N185" s="455"/>
      <c r="O185" s="458"/>
      <c r="P185" s="458"/>
      <c r="Q185" s="535"/>
      <c r="R185" s="456"/>
      <c r="S185" s="457"/>
      <c r="T185" s="488"/>
      <c r="U185" s="590"/>
      <c r="V185" s="556"/>
      <c r="W185" s="556"/>
      <c r="X185" s="376">
        <f>1052630+425600</f>
        <v>1478230</v>
      </c>
    </row>
    <row r="186" spans="1:24" s="19" customFormat="1" ht="13.5" hidden="1" customHeight="1">
      <c r="A186" s="28"/>
      <c r="B186" s="297"/>
      <c r="C186" s="1089"/>
      <c r="D186" s="1045"/>
      <c r="E186" s="1045"/>
      <c r="F186" s="1045"/>
      <c r="G186" s="1059"/>
      <c r="H186" s="633"/>
      <c r="I186" s="489" t="s">
        <v>112</v>
      </c>
      <c r="J186" s="489"/>
      <c r="K186" s="489"/>
      <c r="L186" s="460"/>
      <c r="M186" s="460"/>
      <c r="N186" s="460"/>
      <c r="O186" s="489"/>
      <c r="P186" s="489"/>
      <c r="Q186" s="634"/>
      <c r="R186" s="461"/>
      <c r="S186" s="635"/>
      <c r="T186" s="636"/>
      <c r="U186" s="637"/>
      <c r="V186" s="638"/>
      <c r="W186" s="638"/>
      <c r="X186" s="377">
        <v>741810</v>
      </c>
    </row>
    <row r="187" spans="1:24" s="19" customFormat="1" ht="13.5" customHeight="1">
      <c r="A187" s="28"/>
      <c r="B187" s="297"/>
      <c r="C187" s="1067" t="s">
        <v>59</v>
      </c>
      <c r="D187" s="1068">
        <f>2530000/1000</f>
        <v>2530</v>
      </c>
      <c r="E187" s="1068">
        <f>+X187/1000</f>
        <v>2115.09</v>
      </c>
      <c r="F187" s="1069">
        <f>+E187-D187</f>
        <v>-414.90999999999985</v>
      </c>
      <c r="G187" s="998">
        <f>E187/D187</f>
        <v>0.83600395256917004</v>
      </c>
      <c r="H187" s="639"/>
      <c r="I187" s="440" t="s">
        <v>59</v>
      </c>
      <c r="J187" s="440"/>
      <c r="K187" s="440"/>
      <c r="L187" s="440"/>
      <c r="M187" s="440"/>
      <c r="N187" s="440"/>
      <c r="O187" s="480"/>
      <c r="P187" s="480"/>
      <c r="Q187" s="481"/>
      <c r="R187" s="481"/>
      <c r="S187" s="631"/>
      <c r="T187" s="483"/>
      <c r="U187" s="444"/>
      <c r="V187" s="444"/>
      <c r="W187" s="444" t="s">
        <v>50</v>
      </c>
      <c r="X187" s="372">
        <f>SUM(X188:X191)</f>
        <v>2115090</v>
      </c>
    </row>
    <row r="188" spans="1:24" s="19" customFormat="1" ht="13.5" hidden="1" customHeight="1">
      <c r="A188" s="28"/>
      <c r="B188" s="297"/>
      <c r="C188" s="1067"/>
      <c r="D188" s="1068"/>
      <c r="E188" s="1068"/>
      <c r="F188" s="1069"/>
      <c r="G188" s="999"/>
      <c r="H188" s="640"/>
      <c r="I188" s="624" t="s">
        <v>100</v>
      </c>
      <c r="J188" s="625"/>
      <c r="K188" s="625"/>
      <c r="L188" s="625"/>
      <c r="M188" s="625"/>
      <c r="N188" s="625"/>
      <c r="O188" s="624"/>
      <c r="P188" s="624"/>
      <c r="Q188" s="626"/>
      <c r="R188" s="626"/>
      <c r="S188" s="641"/>
      <c r="T188" s="632"/>
      <c r="U188" s="642"/>
      <c r="V188" s="642"/>
      <c r="W188" s="642"/>
      <c r="X188" s="394">
        <v>0</v>
      </c>
    </row>
    <row r="189" spans="1:24" s="19" customFormat="1" ht="13.5" customHeight="1">
      <c r="A189" s="28"/>
      <c r="B189" s="297"/>
      <c r="C189" s="1067"/>
      <c r="D189" s="1068"/>
      <c r="E189" s="1068"/>
      <c r="F189" s="1069"/>
      <c r="G189" s="999"/>
      <c r="H189" s="763"/>
      <c r="I189" s="484" t="s">
        <v>323</v>
      </c>
      <c r="J189" s="447"/>
      <c r="K189" s="447"/>
      <c r="L189" s="447"/>
      <c r="M189" s="447"/>
      <c r="N189" s="447"/>
      <c r="O189" s="484"/>
      <c r="P189" s="484"/>
      <c r="Q189" s="411"/>
      <c r="R189" s="411"/>
      <c r="S189" s="643"/>
      <c r="T189" s="486"/>
      <c r="U189" s="527"/>
      <c r="V189" s="527"/>
      <c r="W189" s="527"/>
      <c r="X189" s="374">
        <v>366000</v>
      </c>
    </row>
    <row r="190" spans="1:24" s="19" customFormat="1" ht="13.5" customHeight="1">
      <c r="A190" s="28"/>
      <c r="B190" s="297"/>
      <c r="C190" s="1067"/>
      <c r="D190" s="1068"/>
      <c r="E190" s="1068"/>
      <c r="F190" s="1069"/>
      <c r="G190" s="999"/>
      <c r="H190" s="763"/>
      <c r="I190" s="484" t="s">
        <v>100</v>
      </c>
      <c r="J190" s="447"/>
      <c r="K190" s="447"/>
      <c r="L190" s="447"/>
      <c r="M190" s="447"/>
      <c r="N190" s="447"/>
      <c r="O190" s="484"/>
      <c r="P190" s="484"/>
      <c r="Q190" s="411"/>
      <c r="R190" s="411"/>
      <c r="S190" s="643"/>
      <c r="T190" s="486"/>
      <c r="U190" s="527"/>
      <c r="V190" s="527"/>
      <c r="W190" s="527"/>
      <c r="X190" s="374">
        <v>720000</v>
      </c>
    </row>
    <row r="191" spans="1:24" s="19" customFormat="1" ht="13.5" customHeight="1">
      <c r="A191" s="28"/>
      <c r="B191" s="297"/>
      <c r="C191" s="1067"/>
      <c r="D191" s="1068"/>
      <c r="E191" s="1068"/>
      <c r="F191" s="1069"/>
      <c r="G191" s="1000"/>
      <c r="H191" s="763"/>
      <c r="I191" s="484" t="s">
        <v>85</v>
      </c>
      <c r="J191" s="484"/>
      <c r="K191" s="484"/>
      <c r="L191" s="447"/>
      <c r="M191" s="447"/>
      <c r="N191" s="447"/>
      <c r="O191" s="484"/>
      <c r="P191" s="484"/>
      <c r="Q191" s="411"/>
      <c r="R191" s="411"/>
      <c r="S191" s="485"/>
      <c r="T191" s="486"/>
      <c r="U191" s="608"/>
      <c r="V191" s="608"/>
      <c r="W191" s="608"/>
      <c r="X191" s="374">
        <f>864900+124190+40000</f>
        <v>1029090</v>
      </c>
    </row>
    <row r="192" spans="1:24" s="19" customFormat="1" ht="13.5" customHeight="1">
      <c r="A192" s="28"/>
      <c r="B192" s="297"/>
      <c r="C192" s="1046" t="s">
        <v>93</v>
      </c>
      <c r="D192" s="1043">
        <f>20205000/1000</f>
        <v>20205</v>
      </c>
      <c r="E192" s="1024">
        <f>+X192/1000</f>
        <v>24021.35</v>
      </c>
      <c r="F192" s="1043">
        <f>+E192-D192</f>
        <v>3816.3499999999985</v>
      </c>
      <c r="G192" s="1056">
        <f>E192/D192</f>
        <v>1.1888814649839148</v>
      </c>
      <c r="H192" s="630"/>
      <c r="I192" s="440" t="s">
        <v>93</v>
      </c>
      <c r="J192" s="440"/>
      <c r="K192" s="440"/>
      <c r="L192" s="440"/>
      <c r="M192" s="440"/>
      <c r="N192" s="440"/>
      <c r="O192" s="480"/>
      <c r="P192" s="480"/>
      <c r="Q192" s="481"/>
      <c r="R192" s="481"/>
      <c r="S192" s="631"/>
      <c r="T192" s="483"/>
      <c r="U192" s="444"/>
      <c r="V192" s="444"/>
      <c r="W192" s="444" t="s">
        <v>50</v>
      </c>
      <c r="X192" s="372">
        <f>SUM(X193:X198)</f>
        <v>24021350</v>
      </c>
    </row>
    <row r="193" spans="1:28" s="19" customFormat="1" ht="13.5" customHeight="1">
      <c r="A193" s="28"/>
      <c r="B193" s="297"/>
      <c r="C193" s="1047"/>
      <c r="D193" s="1044"/>
      <c r="E193" s="1025"/>
      <c r="F193" s="1079"/>
      <c r="G193" s="1058"/>
      <c r="H193" s="606"/>
      <c r="I193" s="484" t="s">
        <v>324</v>
      </c>
      <c r="J193" s="447"/>
      <c r="K193" s="447"/>
      <c r="L193" s="447"/>
      <c r="M193" s="447"/>
      <c r="N193" s="447"/>
      <c r="O193" s="484"/>
      <c r="P193" s="484"/>
      <c r="Q193" s="411"/>
      <c r="R193" s="411"/>
      <c r="S193" s="643"/>
      <c r="T193" s="486"/>
      <c r="U193" s="449"/>
      <c r="V193" s="449"/>
      <c r="W193" s="449"/>
      <c r="X193" s="374">
        <v>4117600</v>
      </c>
    </row>
    <row r="194" spans="1:28" s="19" customFormat="1" ht="13.5" customHeight="1">
      <c r="A194" s="28"/>
      <c r="B194" s="297"/>
      <c r="C194" s="1047"/>
      <c r="D194" s="1044"/>
      <c r="E194" s="1025"/>
      <c r="F194" s="1079"/>
      <c r="G194" s="1058"/>
      <c r="H194" s="606"/>
      <c r="I194" s="484" t="s">
        <v>204</v>
      </c>
      <c r="J194" s="447"/>
      <c r="K194" s="447"/>
      <c r="L194" s="447"/>
      <c r="M194" s="447"/>
      <c r="N194" s="447"/>
      <c r="O194" s="484"/>
      <c r="P194" s="484"/>
      <c r="Q194" s="411"/>
      <c r="R194" s="411"/>
      <c r="S194" s="643"/>
      <c r="T194" s="486"/>
      <c r="U194" s="449"/>
      <c r="V194" s="449"/>
      <c r="W194" s="449"/>
      <c r="X194" s="374">
        <v>1653750</v>
      </c>
    </row>
    <row r="195" spans="1:28" s="19" customFormat="1" ht="13.5" customHeight="1">
      <c r="A195" s="28"/>
      <c r="B195" s="297"/>
      <c r="C195" s="1047"/>
      <c r="D195" s="1044"/>
      <c r="E195" s="1025"/>
      <c r="F195" s="1079"/>
      <c r="G195" s="1058"/>
      <c r="H195" s="606"/>
      <c r="I195" s="484" t="s">
        <v>325</v>
      </c>
      <c r="J195" s="447"/>
      <c r="K195" s="447"/>
      <c r="L195" s="447"/>
      <c r="M195" s="447"/>
      <c r="N195" s="447"/>
      <c r="O195" s="484"/>
      <c r="P195" s="484"/>
      <c r="Q195" s="411"/>
      <c r="R195" s="411"/>
      <c r="S195" s="643"/>
      <c r="T195" s="486"/>
      <c r="U195" s="449"/>
      <c r="V195" s="449"/>
      <c r="W195" s="449"/>
      <c r="X195" s="374">
        <v>1250000</v>
      </c>
    </row>
    <row r="196" spans="1:28" s="285" customFormat="1" ht="13.5" customHeight="1" thickBot="1">
      <c r="A196" s="286"/>
      <c r="B196" s="287"/>
      <c r="C196" s="1047"/>
      <c r="D196" s="1044"/>
      <c r="E196" s="1025"/>
      <c r="F196" s="1079"/>
      <c r="G196" s="1058"/>
      <c r="H196" s="606"/>
      <c r="I196" s="484" t="s">
        <v>371</v>
      </c>
      <c r="J196" s="447"/>
      <c r="K196" s="447"/>
      <c r="L196" s="447"/>
      <c r="M196" s="447"/>
      <c r="N196" s="447"/>
      <c r="O196" s="484"/>
      <c r="P196" s="484"/>
      <c r="Q196" s="411"/>
      <c r="R196" s="411"/>
      <c r="S196" s="643"/>
      <c r="T196" s="486"/>
      <c r="U196" s="449"/>
      <c r="V196" s="449"/>
      <c r="W196" s="449"/>
      <c r="X196" s="374">
        <v>17000000</v>
      </c>
    </row>
    <row r="197" spans="1:28" s="19" customFormat="1" ht="13.5" hidden="1" customHeight="1">
      <c r="A197" s="28"/>
      <c r="B197" s="297"/>
      <c r="C197" s="1047"/>
      <c r="D197" s="1044"/>
      <c r="E197" s="1025"/>
      <c r="F197" s="1079"/>
      <c r="G197" s="1058"/>
      <c r="H197" s="619"/>
      <c r="I197" s="469" t="s">
        <v>190</v>
      </c>
      <c r="J197" s="504"/>
      <c r="K197" s="504"/>
      <c r="L197" s="504"/>
      <c r="M197" s="504"/>
      <c r="N197" s="504"/>
      <c r="O197" s="469"/>
      <c r="P197" s="469"/>
      <c r="Q197" s="552"/>
      <c r="R197" s="552"/>
      <c r="S197" s="644"/>
      <c r="T197" s="472"/>
      <c r="U197" s="507"/>
      <c r="V197" s="507"/>
      <c r="W197" s="507"/>
      <c r="X197" s="382">
        <v>0</v>
      </c>
    </row>
    <row r="198" spans="1:28" s="19" customFormat="1" ht="13.5" hidden="1" customHeight="1" thickBot="1">
      <c r="A198" s="28"/>
      <c r="B198" s="297"/>
      <c r="C198" s="1047"/>
      <c r="D198" s="1044"/>
      <c r="E198" s="1025"/>
      <c r="F198" s="1079"/>
      <c r="G198" s="1057"/>
      <c r="H198" s="551"/>
      <c r="I198" s="469" t="s">
        <v>188</v>
      </c>
      <c r="J198" s="469"/>
      <c r="K198" s="469"/>
      <c r="L198" s="469"/>
      <c r="M198" s="469"/>
      <c r="N198" s="469"/>
      <c r="O198" s="469"/>
      <c r="P198" s="469"/>
      <c r="Q198" s="552">
        <v>100000</v>
      </c>
      <c r="R198" s="470" t="s">
        <v>189</v>
      </c>
      <c r="S198" s="645">
        <v>3</v>
      </c>
      <c r="T198" s="472"/>
      <c r="U198" s="645"/>
      <c r="V198" s="645"/>
      <c r="W198" s="645"/>
      <c r="X198" s="382">
        <v>0</v>
      </c>
    </row>
    <row r="199" spans="1:28" s="68" customFormat="1" ht="15" customHeight="1">
      <c r="A199" s="1098" t="s">
        <v>83</v>
      </c>
      <c r="B199" s="76"/>
      <c r="C199" s="69" t="s">
        <v>50</v>
      </c>
      <c r="D199" s="70">
        <f>D200</f>
        <v>8540.67</v>
      </c>
      <c r="E199" s="70">
        <f>E200</f>
        <v>16566.97</v>
      </c>
      <c r="F199" s="71">
        <f>E199-D199</f>
        <v>8026.3000000000011</v>
      </c>
      <c r="G199" s="244">
        <f>E199/D199</f>
        <v>1.9397740458301282</v>
      </c>
      <c r="H199" s="1035">
        <f>SUM(M199:X199)</f>
        <v>16567</v>
      </c>
      <c r="I199" s="1036"/>
      <c r="J199" s="1036"/>
      <c r="K199" s="1036"/>
      <c r="L199" s="1037"/>
      <c r="M199" s="1035">
        <f>M200</f>
        <v>6283.5</v>
      </c>
      <c r="N199" s="1036"/>
      <c r="O199" s="1036"/>
      <c r="P199" s="1036"/>
      <c r="Q199" s="1037"/>
      <c r="R199" s="1035">
        <f>R200</f>
        <v>6283.5</v>
      </c>
      <c r="S199" s="1036"/>
      <c r="T199" s="1036"/>
      <c r="U199" s="1037"/>
      <c r="V199" s="646"/>
      <c r="W199" s="647"/>
      <c r="X199" s="395">
        <f>X200</f>
        <v>4000</v>
      </c>
    </row>
    <row r="200" spans="1:28" s="68" customFormat="1" ht="15" customHeight="1">
      <c r="A200" s="1090"/>
      <c r="B200" s="1099" t="s">
        <v>57</v>
      </c>
      <c r="C200" s="72" t="s">
        <v>127</v>
      </c>
      <c r="D200" s="73">
        <f>SUM(D201:D209)</f>
        <v>8540.67</v>
      </c>
      <c r="E200" s="73">
        <f>SUM(E201:E202,E203,E206)</f>
        <v>16566.97</v>
      </c>
      <c r="F200" s="74">
        <f>E200-D200</f>
        <v>8026.3000000000011</v>
      </c>
      <c r="G200" s="245">
        <f>E200/D200</f>
        <v>1.9397740458301282</v>
      </c>
      <c r="H200" s="1038">
        <f>ROUNDUP((M200+R200+X200)/1,0)</f>
        <v>16567</v>
      </c>
      <c r="I200" s="1039"/>
      <c r="J200" s="1039"/>
      <c r="K200" s="1039"/>
      <c r="L200" s="1040"/>
      <c r="M200" s="1038">
        <f>R200</f>
        <v>6283.5</v>
      </c>
      <c r="N200" s="1039"/>
      <c r="O200" s="1039"/>
      <c r="P200" s="1039"/>
      <c r="Q200" s="1040"/>
      <c r="R200" s="1038">
        <f>(ROUND((SUM(X201,X204,X207:X208))/1000,0))/2</f>
        <v>6283.5</v>
      </c>
      <c r="S200" s="1039"/>
      <c r="T200" s="1039"/>
      <c r="U200" s="1040"/>
      <c r="V200" s="648"/>
      <c r="W200" s="649"/>
      <c r="X200" s="396">
        <f>(X209+X205)/1000</f>
        <v>4000</v>
      </c>
    </row>
    <row r="201" spans="1:28" s="68" customFormat="1" ht="15" customHeight="1">
      <c r="A201" s="1090"/>
      <c r="B201" s="1092"/>
      <c r="C201" s="1081" t="s">
        <v>57</v>
      </c>
      <c r="D201" s="1070">
        <f>2043670/1000</f>
        <v>2043.67</v>
      </c>
      <c r="E201" s="1070">
        <f>X201/1000</f>
        <v>1143.67</v>
      </c>
      <c r="F201" s="1095">
        <f>E201-D201</f>
        <v>-900</v>
      </c>
      <c r="G201" s="1061">
        <f>E201/D201</f>
        <v>0.55961578924190303</v>
      </c>
      <c r="H201" s="438"/>
      <c r="I201" s="650" t="s">
        <v>57</v>
      </c>
      <c r="J201" s="650"/>
      <c r="K201" s="650"/>
      <c r="L201" s="650"/>
      <c r="M201" s="650"/>
      <c r="N201" s="650"/>
      <c r="O201" s="651"/>
      <c r="P201" s="651"/>
      <c r="Q201" s="481"/>
      <c r="R201" s="481"/>
      <c r="S201" s="652"/>
      <c r="T201" s="653"/>
      <c r="U201" s="444"/>
      <c r="V201" s="444"/>
      <c r="W201" s="444" t="s">
        <v>50</v>
      </c>
      <c r="X201" s="372">
        <f>X202</f>
        <v>1143670</v>
      </c>
    </row>
    <row r="202" spans="1:28" s="68" customFormat="1" ht="15" customHeight="1">
      <c r="A202" s="1090"/>
      <c r="B202" s="1092"/>
      <c r="C202" s="1094"/>
      <c r="D202" s="1071"/>
      <c r="E202" s="1071"/>
      <c r="F202" s="1096"/>
      <c r="G202" s="1066"/>
      <c r="H202" s="593"/>
      <c r="I202" s="654" t="s">
        <v>57</v>
      </c>
      <c r="J202" s="654"/>
      <c r="K202" s="654"/>
      <c r="L202" s="654"/>
      <c r="M202" s="654"/>
      <c r="N202" s="654"/>
      <c r="O202" s="654"/>
      <c r="P202" s="654"/>
      <c r="Q202" s="655"/>
      <c r="R202" s="655"/>
      <c r="S202" s="656"/>
      <c r="T202" s="657"/>
      <c r="U202" s="658"/>
      <c r="V202" s="658"/>
      <c r="W202" s="658"/>
      <c r="X202" s="397">
        <v>1143670</v>
      </c>
    </row>
    <row r="203" spans="1:28" s="68" customFormat="1" ht="15" customHeight="1">
      <c r="A203" s="1090"/>
      <c r="B203" s="1092"/>
      <c r="C203" s="1081" t="s">
        <v>92</v>
      </c>
      <c r="D203" s="1070">
        <v>2600</v>
      </c>
      <c r="E203" s="1070">
        <f>X203/1000</f>
        <v>2284</v>
      </c>
      <c r="F203" s="1095">
        <f>E203-D203</f>
        <v>-316</v>
      </c>
      <c r="G203" s="1063">
        <f>E203/D203</f>
        <v>0.87846153846153852</v>
      </c>
      <c r="H203" s="438"/>
      <c r="I203" s="650" t="s">
        <v>92</v>
      </c>
      <c r="J203" s="650"/>
      <c r="K203" s="650"/>
      <c r="L203" s="650"/>
      <c r="M203" s="650"/>
      <c r="N203" s="650"/>
      <c r="O203" s="651"/>
      <c r="P203" s="651"/>
      <c r="Q203" s="481"/>
      <c r="R203" s="481"/>
      <c r="S203" s="652"/>
      <c r="T203" s="653"/>
      <c r="U203" s="444"/>
      <c r="V203" s="444"/>
      <c r="W203" s="444" t="s">
        <v>50</v>
      </c>
      <c r="X203" s="372">
        <f>X204+X205</f>
        <v>2284000</v>
      </c>
    </row>
    <row r="204" spans="1:28" s="68" customFormat="1" ht="15" hidden="1" customHeight="1">
      <c r="A204" s="1090"/>
      <c r="B204" s="1092"/>
      <c r="C204" s="1082"/>
      <c r="D204" s="1072"/>
      <c r="E204" s="1072"/>
      <c r="F204" s="1097"/>
      <c r="G204" s="1064"/>
      <c r="H204" s="499"/>
      <c r="I204" s="659" t="s">
        <v>92</v>
      </c>
      <c r="J204" s="659"/>
      <c r="K204" s="659"/>
      <c r="L204" s="659"/>
      <c r="M204" s="659"/>
      <c r="N204" s="659"/>
      <c r="O204" s="659"/>
      <c r="P204" s="659"/>
      <c r="Q204" s="660"/>
      <c r="R204" s="660"/>
      <c r="S204" s="661"/>
      <c r="T204" s="662"/>
      <c r="U204" s="663"/>
      <c r="V204" s="663"/>
      <c r="W204" s="663"/>
      <c r="X204" s="374">
        <v>284000</v>
      </c>
    </row>
    <row r="205" spans="1:28" s="68" customFormat="1" ht="15" hidden="1" customHeight="1">
      <c r="A205" s="1090"/>
      <c r="B205" s="1092"/>
      <c r="C205" s="1094"/>
      <c r="D205" s="1071"/>
      <c r="E205" s="1071"/>
      <c r="F205" s="1096"/>
      <c r="G205" s="1065"/>
      <c r="H205" s="664"/>
      <c r="I205" s="665" t="s">
        <v>92</v>
      </c>
      <c r="J205" s="665"/>
      <c r="K205" s="665"/>
      <c r="L205" s="665"/>
      <c r="M205" s="665"/>
      <c r="N205" s="665"/>
      <c r="O205" s="665"/>
      <c r="P205" s="665"/>
      <c r="Q205" s="666"/>
      <c r="R205" s="666"/>
      <c r="S205" s="667"/>
      <c r="T205" s="668"/>
      <c r="U205" s="669"/>
      <c r="V205" s="669"/>
      <c r="W205" s="669"/>
      <c r="X205" s="398">
        <v>2000000</v>
      </c>
    </row>
    <row r="206" spans="1:28" s="68" customFormat="1" ht="15" customHeight="1" thickBot="1">
      <c r="A206" s="1090"/>
      <c r="B206" s="1092"/>
      <c r="C206" s="1081" t="s">
        <v>106</v>
      </c>
      <c r="D206" s="1070">
        <v>3897</v>
      </c>
      <c r="E206" s="1070">
        <f>X206/1000</f>
        <v>13139.3</v>
      </c>
      <c r="F206" s="1084">
        <f>E206-D206</f>
        <v>9242.2999999999993</v>
      </c>
      <c r="G206" s="1060">
        <f>E206/D206</f>
        <v>3.3716448550166791</v>
      </c>
      <c r="H206" s="670"/>
      <c r="I206" s="671" t="s">
        <v>106</v>
      </c>
      <c r="J206" s="671"/>
      <c r="K206" s="671"/>
      <c r="L206" s="671"/>
      <c r="M206" s="671"/>
      <c r="N206" s="671"/>
      <c r="O206" s="672"/>
      <c r="P206" s="672"/>
      <c r="Q206" s="673"/>
      <c r="R206" s="673"/>
      <c r="S206" s="674"/>
      <c r="T206" s="675"/>
      <c r="U206" s="676"/>
      <c r="V206" s="676"/>
      <c r="W206" s="676" t="s">
        <v>50</v>
      </c>
      <c r="X206" s="399">
        <f>SUM(X207:X209)</f>
        <v>13139300</v>
      </c>
    </row>
    <row r="207" spans="1:28" s="68" customFormat="1" ht="15" hidden="1" customHeight="1">
      <c r="A207" s="1090"/>
      <c r="B207" s="1092"/>
      <c r="C207" s="1082"/>
      <c r="D207" s="1072"/>
      <c r="E207" s="1072"/>
      <c r="F207" s="1085"/>
      <c r="G207" s="1060"/>
      <c r="H207" s="677"/>
      <c r="I207" s="450" t="s">
        <v>106</v>
      </c>
      <c r="J207" s="450"/>
      <c r="K207" s="450"/>
      <c r="L207" s="450"/>
      <c r="M207" s="450"/>
      <c r="N207" s="450"/>
      <c r="O207" s="450"/>
      <c r="P207" s="450"/>
      <c r="Q207" s="411"/>
      <c r="R207" s="411"/>
      <c r="S207" s="678"/>
      <c r="T207" s="679"/>
      <c r="U207" s="607"/>
      <c r="V207" s="607"/>
      <c r="W207" s="607"/>
      <c r="X207" s="400">
        <f>3697000+5902300</f>
        <v>9599300</v>
      </c>
      <c r="AA207" s="91"/>
      <c r="AB207" s="91"/>
    </row>
    <row r="208" spans="1:28" s="68" customFormat="1" ht="15" hidden="1" customHeight="1">
      <c r="A208" s="1090"/>
      <c r="B208" s="1092"/>
      <c r="C208" s="1082"/>
      <c r="D208" s="1072"/>
      <c r="E208" s="1072"/>
      <c r="F208" s="1085"/>
      <c r="G208" s="1061"/>
      <c r="H208" s="680"/>
      <c r="I208" s="681" t="s">
        <v>106</v>
      </c>
      <c r="J208" s="681"/>
      <c r="K208" s="681"/>
      <c r="L208" s="681"/>
      <c r="M208" s="681"/>
      <c r="N208" s="681"/>
      <c r="O208" s="681"/>
      <c r="P208" s="681"/>
      <c r="Q208" s="682"/>
      <c r="R208" s="682"/>
      <c r="S208" s="683"/>
      <c r="T208" s="684"/>
      <c r="U208" s="685"/>
      <c r="V208" s="685"/>
      <c r="W208" s="685"/>
      <c r="X208" s="401">
        <v>1540000</v>
      </c>
      <c r="AA208" s="91"/>
      <c r="AB208" s="91"/>
    </row>
    <row r="209" spans="1:28" s="68" customFormat="1" ht="15" hidden="1" customHeight="1" thickBot="1">
      <c r="A209" s="1091"/>
      <c r="B209" s="1093"/>
      <c r="C209" s="1083"/>
      <c r="D209" s="1087"/>
      <c r="E209" s="1087"/>
      <c r="F209" s="1086"/>
      <c r="G209" s="1062"/>
      <c r="H209" s="686"/>
      <c r="I209" s="687" t="s">
        <v>106</v>
      </c>
      <c r="J209" s="687"/>
      <c r="K209" s="687"/>
      <c r="L209" s="687"/>
      <c r="M209" s="687"/>
      <c r="N209" s="687"/>
      <c r="O209" s="687"/>
      <c r="P209" s="687"/>
      <c r="Q209" s="688"/>
      <c r="R209" s="688"/>
      <c r="S209" s="689"/>
      <c r="T209" s="690"/>
      <c r="U209" s="691"/>
      <c r="V209" s="691"/>
      <c r="W209" s="691"/>
      <c r="X209" s="402">
        <v>2000000</v>
      </c>
      <c r="AA209" s="91"/>
      <c r="AB209" s="91"/>
    </row>
    <row r="210" spans="1:28" s="19" customFormat="1" ht="15" customHeight="1">
      <c r="A210" s="1020" t="s">
        <v>70</v>
      </c>
      <c r="B210" s="237"/>
      <c r="C210" s="238" t="s">
        <v>50</v>
      </c>
      <c r="D210" s="239">
        <f>D211+D220+D242+D253+D281</f>
        <v>361954.56900000002</v>
      </c>
      <c r="E210" s="239">
        <f>E211+E220+E242+E253+E281</f>
        <v>332790.489</v>
      </c>
      <c r="F210" s="239">
        <f>F211+F220+F242+F253+F281</f>
        <v>-29164.080000000002</v>
      </c>
      <c r="G210" s="246">
        <f>E210/D210</f>
        <v>0.91942613107337234</v>
      </c>
      <c r="H210" s="1050">
        <f>SUM(M210:X210)</f>
        <v>332791</v>
      </c>
      <c r="I210" s="1051"/>
      <c r="J210" s="1051"/>
      <c r="K210" s="1051"/>
      <c r="L210" s="1052"/>
      <c r="M210" s="1050">
        <f>M211+M220+M242+M253</f>
        <v>107022</v>
      </c>
      <c r="N210" s="1051"/>
      <c r="O210" s="1051"/>
      <c r="P210" s="1051"/>
      <c r="Q210" s="1052"/>
      <c r="R210" s="1050">
        <f>R211+R220+R242+R253</f>
        <v>95522</v>
      </c>
      <c r="S210" s="1051"/>
      <c r="T210" s="1051"/>
      <c r="U210" s="1052"/>
      <c r="V210" s="692">
        <f>V211+V220+V242+V253</f>
        <v>6000</v>
      </c>
      <c r="W210" s="693">
        <f>W211+W220+W242+W253</f>
        <v>83781</v>
      </c>
      <c r="X210" s="403">
        <f>X211+X220+X281+X242+X253</f>
        <v>40466</v>
      </c>
    </row>
    <row r="211" spans="1:28" s="19" customFormat="1" ht="15" customHeight="1">
      <c r="A211" s="1020"/>
      <c r="B211" s="1018" t="s">
        <v>70</v>
      </c>
      <c r="C211" s="48" t="s">
        <v>127</v>
      </c>
      <c r="D211" s="46">
        <f>D212</f>
        <v>34868.449999999997</v>
      </c>
      <c r="E211" s="46">
        <f>E212</f>
        <v>39011.300000000003</v>
      </c>
      <c r="F211" s="46">
        <f>F212</f>
        <v>4142.8500000000058</v>
      </c>
      <c r="G211" s="247">
        <f>E211/D211</f>
        <v>1.1188137126829556</v>
      </c>
      <c r="H211" s="1038">
        <f>SUM(M211:X211)</f>
        <v>39011</v>
      </c>
      <c r="I211" s="1039"/>
      <c r="J211" s="1039"/>
      <c r="K211" s="1039"/>
      <c r="L211" s="1040"/>
      <c r="M211" s="1038">
        <f>R211</f>
        <v>19005.5</v>
      </c>
      <c r="N211" s="1039"/>
      <c r="O211" s="1039"/>
      <c r="P211" s="1039"/>
      <c r="Q211" s="1040"/>
      <c r="R211" s="1038">
        <f>(ROUND(SUM(X213:X218)/1000,0))/2</f>
        <v>19005.5</v>
      </c>
      <c r="S211" s="1039"/>
      <c r="T211" s="1039"/>
      <c r="U211" s="1040"/>
      <c r="V211" s="694">
        <f>X219/1000</f>
        <v>1000</v>
      </c>
      <c r="W211" s="648">
        <v>0</v>
      </c>
      <c r="X211" s="371">
        <v>0</v>
      </c>
    </row>
    <row r="212" spans="1:28" s="19" customFormat="1" ht="15" customHeight="1">
      <c r="A212" s="1020"/>
      <c r="B212" s="1019"/>
      <c r="C212" s="1010" t="s">
        <v>98</v>
      </c>
      <c r="D212" s="1007">
        <f>34868450/1000</f>
        <v>34868.449999999997</v>
      </c>
      <c r="E212" s="1004">
        <f>+X212/1000</f>
        <v>39011.300000000003</v>
      </c>
      <c r="F212" s="1001">
        <f>E212-D212</f>
        <v>4142.8500000000058</v>
      </c>
      <c r="G212" s="998">
        <f>E212/D212</f>
        <v>1.1188137126829556</v>
      </c>
      <c r="H212" s="438"/>
      <c r="I212" s="650" t="s">
        <v>98</v>
      </c>
      <c r="J212" s="650"/>
      <c r="K212" s="650"/>
      <c r="L212" s="650"/>
      <c r="M212" s="650"/>
      <c r="N212" s="650"/>
      <c r="O212" s="651"/>
      <c r="P212" s="651"/>
      <c r="Q212" s="481"/>
      <c r="R212" s="481"/>
      <c r="S212" s="652"/>
      <c r="T212" s="653"/>
      <c r="U212" s="444"/>
      <c r="V212" s="444"/>
      <c r="W212" s="444" t="s">
        <v>50</v>
      </c>
      <c r="X212" s="372">
        <f>SUM(X213:X219)</f>
        <v>39011300</v>
      </c>
    </row>
    <row r="213" spans="1:28" s="19" customFormat="1" ht="15" customHeight="1">
      <c r="A213" s="1020"/>
      <c r="B213" s="1019"/>
      <c r="C213" s="1011"/>
      <c r="D213" s="1008"/>
      <c r="E213" s="1005"/>
      <c r="F213" s="1002"/>
      <c r="G213" s="999"/>
      <c r="H213" s="499"/>
      <c r="I213" s="450" t="s">
        <v>2</v>
      </c>
      <c r="J213" s="695"/>
      <c r="K213" s="695"/>
      <c r="L213" s="695"/>
      <c r="M213" s="695"/>
      <c r="N213" s="695"/>
      <c r="O213" s="450"/>
      <c r="P213" s="450"/>
      <c r="Q213" s="411"/>
      <c r="R213" s="411"/>
      <c r="S213" s="696"/>
      <c r="T213" s="679"/>
      <c r="U213" s="697"/>
      <c r="V213" s="697"/>
      <c r="W213" s="697"/>
      <c r="X213" s="374">
        <v>4040000</v>
      </c>
    </row>
    <row r="214" spans="1:28" s="19" customFormat="1" ht="15" hidden="1" customHeight="1">
      <c r="A214" s="1020"/>
      <c r="B214" s="1019"/>
      <c r="C214" s="1011"/>
      <c r="D214" s="1008"/>
      <c r="E214" s="1005"/>
      <c r="F214" s="1002"/>
      <c r="G214" s="999"/>
      <c r="H214" s="499"/>
      <c r="I214" s="450" t="s">
        <v>8</v>
      </c>
      <c r="J214" s="695"/>
      <c r="K214" s="695"/>
      <c r="L214" s="695"/>
      <c r="M214" s="695"/>
      <c r="N214" s="695"/>
      <c r="O214" s="450"/>
      <c r="P214" s="450"/>
      <c r="Q214" s="411"/>
      <c r="R214" s="411"/>
      <c r="S214" s="696"/>
      <c r="T214" s="679"/>
      <c r="U214" s="697"/>
      <c r="V214" s="697"/>
      <c r="W214" s="697"/>
      <c r="X214" s="374">
        <v>0</v>
      </c>
    </row>
    <row r="215" spans="1:28" s="19" customFormat="1" ht="15" customHeight="1">
      <c r="A215" s="1020"/>
      <c r="B215" s="1019"/>
      <c r="C215" s="1011"/>
      <c r="D215" s="1008"/>
      <c r="E215" s="1005"/>
      <c r="F215" s="1002"/>
      <c r="G215" s="999"/>
      <c r="H215" s="499"/>
      <c r="I215" s="450" t="s">
        <v>177</v>
      </c>
      <c r="J215" s="450"/>
      <c r="K215" s="450"/>
      <c r="L215" s="450"/>
      <c r="M215" s="450"/>
      <c r="N215" s="450"/>
      <c r="O215" s="450"/>
      <c r="P215" s="450"/>
      <c r="Q215" s="411"/>
      <c r="R215" s="411"/>
      <c r="S215" s="678"/>
      <c r="T215" s="679"/>
      <c r="U215" s="607"/>
      <c r="V215" s="607"/>
      <c r="W215" s="607"/>
      <c r="X215" s="374">
        <v>518450</v>
      </c>
    </row>
    <row r="216" spans="1:28" s="19" customFormat="1" ht="15" customHeight="1">
      <c r="A216" s="1020"/>
      <c r="B216" s="1019"/>
      <c r="C216" s="1011"/>
      <c r="D216" s="1008"/>
      <c r="E216" s="1005"/>
      <c r="F216" s="1002"/>
      <c r="G216" s="999"/>
      <c r="H216" s="499"/>
      <c r="I216" s="450" t="s">
        <v>166</v>
      </c>
      <c r="J216" s="450"/>
      <c r="K216" s="450"/>
      <c r="L216" s="450"/>
      <c r="M216" s="450"/>
      <c r="N216" s="450"/>
      <c r="O216" s="450"/>
      <c r="P216" s="450"/>
      <c r="Q216" s="411"/>
      <c r="R216" s="411"/>
      <c r="S216" s="678"/>
      <c r="T216" s="679"/>
      <c r="U216" s="607"/>
      <c r="V216" s="607"/>
      <c r="W216" s="607"/>
      <c r="X216" s="374">
        <v>9839610</v>
      </c>
    </row>
    <row r="217" spans="1:28" s="19" customFormat="1" ht="15" customHeight="1">
      <c r="A217" s="1020"/>
      <c r="B217" s="1019"/>
      <c r="C217" s="1011"/>
      <c r="D217" s="1008"/>
      <c r="E217" s="1005"/>
      <c r="F217" s="1002"/>
      <c r="G217" s="999"/>
      <c r="H217" s="499"/>
      <c r="I217" s="450" t="s">
        <v>36</v>
      </c>
      <c r="J217" s="450"/>
      <c r="K217" s="450"/>
      <c r="L217" s="450"/>
      <c r="M217" s="450"/>
      <c r="N217" s="450"/>
      <c r="O217" s="450"/>
      <c r="P217" s="450"/>
      <c r="Q217" s="411"/>
      <c r="R217" s="411"/>
      <c r="S217" s="678"/>
      <c r="T217" s="679"/>
      <c r="U217" s="607"/>
      <c r="V217" s="607"/>
      <c r="W217" s="607"/>
      <c r="X217" s="374">
        <v>7312270</v>
      </c>
    </row>
    <row r="218" spans="1:28" s="19" customFormat="1" ht="15" customHeight="1">
      <c r="A218" s="1020"/>
      <c r="B218" s="1019"/>
      <c r="C218" s="1011"/>
      <c r="D218" s="1008"/>
      <c r="E218" s="1005"/>
      <c r="F218" s="1002"/>
      <c r="G218" s="999"/>
      <c r="H218" s="499"/>
      <c r="I218" s="450" t="s">
        <v>149</v>
      </c>
      <c r="J218" s="450"/>
      <c r="K218" s="450"/>
      <c r="L218" s="450"/>
      <c r="M218" s="450"/>
      <c r="N218" s="450"/>
      <c r="O218" s="450"/>
      <c r="P218" s="450"/>
      <c r="Q218" s="411"/>
      <c r="R218" s="411"/>
      <c r="S218" s="678"/>
      <c r="T218" s="679"/>
      <c r="U218" s="607"/>
      <c r="V218" s="607"/>
      <c r="W218" s="607"/>
      <c r="X218" s="374">
        <v>16300970</v>
      </c>
    </row>
    <row r="219" spans="1:28" s="19" customFormat="1" ht="15" customHeight="1">
      <c r="A219" s="1020"/>
      <c r="B219" s="1019"/>
      <c r="C219" s="1012"/>
      <c r="D219" s="1009"/>
      <c r="E219" s="1006"/>
      <c r="F219" s="1003"/>
      <c r="G219" s="1000"/>
      <c r="H219" s="499"/>
      <c r="I219" s="450" t="s">
        <v>369</v>
      </c>
      <c r="J219" s="450"/>
      <c r="K219" s="450"/>
      <c r="L219" s="450"/>
      <c r="M219" s="450"/>
      <c r="N219" s="450"/>
      <c r="O219" s="450"/>
      <c r="P219" s="450"/>
      <c r="Q219" s="411"/>
      <c r="R219" s="411"/>
      <c r="S219" s="678"/>
      <c r="T219" s="679"/>
      <c r="U219" s="607"/>
      <c r="V219" s="607"/>
      <c r="W219" s="607"/>
      <c r="X219" s="374">
        <v>1000000</v>
      </c>
    </row>
    <row r="220" spans="1:28" s="19" customFormat="1" ht="15" customHeight="1">
      <c r="A220" s="1020"/>
      <c r="B220" s="1019"/>
      <c r="C220" s="48" t="s">
        <v>127</v>
      </c>
      <c r="D220" s="46">
        <f>D221</f>
        <v>59240.08</v>
      </c>
      <c r="E220" s="46">
        <f>E221</f>
        <v>62574.36</v>
      </c>
      <c r="F220" s="46">
        <f>F221</f>
        <v>3334.2799999999988</v>
      </c>
      <c r="G220" s="247">
        <f>E220/D220</f>
        <v>1.0562841913785397</v>
      </c>
      <c r="H220" s="1038">
        <f>SUM(M220:X220)</f>
        <v>62574</v>
      </c>
      <c r="I220" s="1039"/>
      <c r="J220" s="1039"/>
      <c r="K220" s="1039"/>
      <c r="L220" s="1040"/>
      <c r="M220" s="1073">
        <f>R220+(ROUND((SUM(X236:X241))/1000,0))</f>
        <v>37037</v>
      </c>
      <c r="N220" s="1074"/>
      <c r="O220" s="1074"/>
      <c r="P220" s="1074"/>
      <c r="Q220" s="1075"/>
      <c r="R220" s="1038">
        <f>((ROUND((SUM(X222:X234))/1000,0))/2)</f>
        <v>25537</v>
      </c>
      <c r="S220" s="1039"/>
      <c r="T220" s="1039"/>
      <c r="U220" s="1040"/>
      <c r="V220" s="648">
        <v>0</v>
      </c>
      <c r="W220" s="649">
        <v>0</v>
      </c>
      <c r="X220" s="371">
        <f>(ROUND((SUM(X235))/1000,0))</f>
        <v>0</v>
      </c>
    </row>
    <row r="221" spans="1:28" s="19" customFormat="1" ht="16.5" customHeight="1">
      <c r="A221" s="1020"/>
      <c r="B221" s="1019"/>
      <c r="C221" s="1022" t="s">
        <v>86</v>
      </c>
      <c r="D221" s="1013">
        <f>59240080/1000</f>
        <v>59240.08</v>
      </c>
      <c r="E221" s="1015">
        <f>SUM(X221)/1000</f>
        <v>62574.36</v>
      </c>
      <c r="F221" s="1080">
        <f>+E221-D221</f>
        <v>3334.2799999999988</v>
      </c>
      <c r="G221" s="1056">
        <f>E221/D221</f>
        <v>1.0562841913785397</v>
      </c>
      <c r="H221" s="438"/>
      <c r="I221" s="440" t="s">
        <v>86</v>
      </c>
      <c r="J221" s="440"/>
      <c r="K221" s="440"/>
      <c r="L221" s="440"/>
      <c r="M221" s="440"/>
      <c r="N221" s="440"/>
      <c r="O221" s="440"/>
      <c r="P221" s="440"/>
      <c r="Q221" s="441"/>
      <c r="R221" s="441"/>
      <c r="S221" s="698"/>
      <c r="T221" s="443"/>
      <c r="U221" s="444"/>
      <c r="V221" s="444"/>
      <c r="W221" s="444" t="s">
        <v>50</v>
      </c>
      <c r="X221" s="372">
        <f>SUM(X222:X241)</f>
        <v>62574360</v>
      </c>
    </row>
    <row r="222" spans="1:28" s="19" customFormat="1" ht="15" customHeight="1">
      <c r="A222" s="1020"/>
      <c r="B222" s="1019"/>
      <c r="C222" s="1023"/>
      <c r="D222" s="1014"/>
      <c r="E222" s="1016"/>
      <c r="F222" s="1079"/>
      <c r="G222" s="1058"/>
      <c r="H222" s="499"/>
      <c r="I222" s="484" t="s">
        <v>158</v>
      </c>
      <c r="J222" s="484"/>
      <c r="K222" s="484"/>
      <c r="L222" s="484"/>
      <c r="M222" s="484"/>
      <c r="N222" s="484"/>
      <c r="O222" s="484"/>
      <c r="P222" s="484"/>
      <c r="Q222" s="411"/>
      <c r="R222" s="411"/>
      <c r="S222" s="699"/>
      <c r="T222" s="486"/>
      <c r="U222" s="608"/>
      <c r="V222" s="608"/>
      <c r="W222" s="608"/>
      <c r="X222" s="374">
        <v>1500000</v>
      </c>
    </row>
    <row r="223" spans="1:28" s="19" customFormat="1" ht="15" customHeight="1">
      <c r="A223" s="1020"/>
      <c r="B223" s="1019"/>
      <c r="C223" s="1023"/>
      <c r="D223" s="1014"/>
      <c r="E223" s="1016"/>
      <c r="F223" s="1079"/>
      <c r="G223" s="1058"/>
      <c r="H223" s="499"/>
      <c r="I223" s="484" t="s">
        <v>79</v>
      </c>
      <c r="J223" s="484"/>
      <c r="K223" s="484"/>
      <c r="L223" s="484"/>
      <c r="M223" s="484"/>
      <c r="N223" s="484"/>
      <c r="O223" s="484"/>
      <c r="P223" s="484"/>
      <c r="Q223" s="411"/>
      <c r="R223" s="411"/>
      <c r="S223" s="699"/>
      <c r="T223" s="486"/>
      <c r="U223" s="608"/>
      <c r="V223" s="608"/>
      <c r="W223" s="608"/>
      <c r="X223" s="374">
        <v>32080410</v>
      </c>
    </row>
    <row r="224" spans="1:28" s="19" customFormat="1" ht="15" customHeight="1">
      <c r="A224" s="1020"/>
      <c r="B224" s="1019"/>
      <c r="C224" s="1022"/>
      <c r="D224" s="1013"/>
      <c r="E224" s="1015"/>
      <c r="F224" s="1080"/>
      <c r="G224" s="1058"/>
      <c r="H224" s="499"/>
      <c r="I224" s="484" t="s">
        <v>89</v>
      </c>
      <c r="J224" s="484"/>
      <c r="K224" s="484"/>
      <c r="L224" s="484"/>
      <c r="M224" s="484"/>
      <c r="N224" s="484"/>
      <c r="O224" s="484"/>
      <c r="P224" s="484"/>
      <c r="Q224" s="411"/>
      <c r="R224" s="411"/>
      <c r="S224" s="699"/>
      <c r="T224" s="486"/>
      <c r="U224" s="608"/>
      <c r="V224" s="608"/>
      <c r="W224" s="608"/>
      <c r="X224" s="374">
        <v>1635530</v>
      </c>
    </row>
    <row r="225" spans="1:26" s="19" customFormat="1" ht="15" customHeight="1">
      <c r="A225" s="1020"/>
      <c r="B225" s="1019"/>
      <c r="C225" s="1022"/>
      <c r="D225" s="1013"/>
      <c r="E225" s="1015"/>
      <c r="F225" s="1080"/>
      <c r="G225" s="1058"/>
      <c r="H225" s="499"/>
      <c r="I225" s="484" t="s">
        <v>126</v>
      </c>
      <c r="J225" s="484"/>
      <c r="K225" s="484"/>
      <c r="L225" s="484"/>
      <c r="M225" s="484"/>
      <c r="N225" s="484"/>
      <c r="O225" s="484"/>
      <c r="P225" s="484"/>
      <c r="Q225" s="411"/>
      <c r="R225" s="411"/>
      <c r="S225" s="699"/>
      <c r="T225" s="486"/>
      <c r="U225" s="608"/>
      <c r="V225" s="608"/>
      <c r="W225" s="608"/>
      <c r="X225" s="374">
        <v>1068600</v>
      </c>
    </row>
    <row r="226" spans="1:26" s="19" customFormat="1" ht="15" customHeight="1">
      <c r="A226" s="1020"/>
      <c r="B226" s="1019"/>
      <c r="C226" s="1022"/>
      <c r="D226" s="1013"/>
      <c r="E226" s="1015"/>
      <c r="F226" s="1080"/>
      <c r="G226" s="1058"/>
      <c r="H226" s="499"/>
      <c r="I226" s="484" t="s">
        <v>77</v>
      </c>
      <c r="J226" s="484"/>
      <c r="K226" s="484"/>
      <c r="L226" s="484"/>
      <c r="M226" s="484"/>
      <c r="N226" s="484"/>
      <c r="O226" s="484"/>
      <c r="P226" s="484"/>
      <c r="Q226" s="411"/>
      <c r="R226" s="411"/>
      <c r="S226" s="699"/>
      <c r="T226" s="486"/>
      <c r="U226" s="608"/>
      <c r="V226" s="608"/>
      <c r="W226" s="608"/>
      <c r="X226" s="374">
        <v>592680</v>
      </c>
    </row>
    <row r="227" spans="1:26" s="19" customFormat="1" ht="15" customHeight="1">
      <c r="A227" s="1020"/>
      <c r="B227" s="1019"/>
      <c r="C227" s="1023"/>
      <c r="D227" s="1014"/>
      <c r="E227" s="1016"/>
      <c r="F227" s="1079"/>
      <c r="G227" s="1058"/>
      <c r="H227" s="499"/>
      <c r="I227" s="484" t="s">
        <v>326</v>
      </c>
      <c r="J227" s="484"/>
      <c r="K227" s="484"/>
      <c r="L227" s="484"/>
      <c r="M227" s="484"/>
      <c r="N227" s="484"/>
      <c r="O227" s="484"/>
      <c r="P227" s="484"/>
      <c r="Q227" s="411"/>
      <c r="R227" s="411"/>
      <c r="S227" s="699"/>
      <c r="T227" s="486"/>
      <c r="U227" s="608"/>
      <c r="V227" s="608"/>
      <c r="W227" s="608"/>
      <c r="X227" s="374">
        <v>900000</v>
      </c>
    </row>
    <row r="228" spans="1:26" s="19" customFormat="1" ht="15" hidden="1" customHeight="1">
      <c r="A228" s="1020"/>
      <c r="B228" s="1019"/>
      <c r="C228" s="1023"/>
      <c r="D228" s="1014"/>
      <c r="E228" s="1016"/>
      <c r="F228" s="1079"/>
      <c r="G228" s="1058"/>
      <c r="H228" s="499"/>
      <c r="I228" s="484" t="s">
        <v>327</v>
      </c>
      <c r="J228" s="484"/>
      <c r="K228" s="484"/>
      <c r="L228" s="484"/>
      <c r="M228" s="484"/>
      <c r="N228" s="484"/>
      <c r="O228" s="484"/>
      <c r="P228" s="484"/>
      <c r="Q228" s="411"/>
      <c r="R228" s="411"/>
      <c r="S228" s="699"/>
      <c r="T228" s="486"/>
      <c r="U228" s="608"/>
      <c r="V228" s="608"/>
      <c r="W228" s="608"/>
      <c r="X228" s="374">
        <v>0</v>
      </c>
    </row>
    <row r="229" spans="1:26" s="19" customFormat="1" ht="15" hidden="1" customHeight="1">
      <c r="A229" s="1020"/>
      <c r="B229" s="1019"/>
      <c r="C229" s="1023"/>
      <c r="D229" s="1014"/>
      <c r="E229" s="1016"/>
      <c r="F229" s="1079"/>
      <c r="G229" s="1058"/>
      <c r="H229" s="499"/>
      <c r="I229" s="484" t="s">
        <v>328</v>
      </c>
      <c r="J229" s="484"/>
      <c r="K229" s="484"/>
      <c r="L229" s="484"/>
      <c r="M229" s="484"/>
      <c r="N229" s="484"/>
      <c r="O229" s="484"/>
      <c r="P229" s="484"/>
      <c r="Q229" s="411"/>
      <c r="R229" s="411"/>
      <c r="S229" s="699"/>
      <c r="T229" s="486"/>
      <c r="U229" s="608"/>
      <c r="V229" s="608"/>
      <c r="W229" s="608"/>
      <c r="X229" s="374">
        <v>0</v>
      </c>
    </row>
    <row r="230" spans="1:26" s="19" customFormat="1" ht="15" customHeight="1">
      <c r="A230" s="1020"/>
      <c r="B230" s="1019"/>
      <c r="C230" s="1023"/>
      <c r="D230" s="1014"/>
      <c r="E230" s="1016"/>
      <c r="F230" s="1079"/>
      <c r="G230" s="1058"/>
      <c r="H230" s="499"/>
      <c r="I230" s="484" t="s">
        <v>230</v>
      </c>
      <c r="J230" s="484"/>
      <c r="K230" s="484"/>
      <c r="L230" s="484"/>
      <c r="M230" s="484"/>
      <c r="N230" s="484"/>
      <c r="O230" s="484"/>
      <c r="P230" s="484"/>
      <c r="Q230" s="411"/>
      <c r="R230" s="411"/>
      <c r="S230" s="699"/>
      <c r="T230" s="486"/>
      <c r="U230" s="608"/>
      <c r="V230" s="608"/>
      <c r="W230" s="608"/>
      <c r="X230" s="374">
        <v>1830000</v>
      </c>
    </row>
    <row r="231" spans="1:26" s="19" customFormat="1" ht="15" customHeight="1">
      <c r="A231" s="1020"/>
      <c r="B231" s="1019"/>
      <c r="C231" s="1023"/>
      <c r="D231" s="1014"/>
      <c r="E231" s="1016"/>
      <c r="F231" s="1079"/>
      <c r="G231" s="1058"/>
      <c r="H231" s="499"/>
      <c r="I231" s="484" t="s">
        <v>48</v>
      </c>
      <c r="J231" s="484"/>
      <c r="K231" s="484"/>
      <c r="L231" s="484"/>
      <c r="M231" s="484"/>
      <c r="N231" s="484"/>
      <c r="O231" s="484"/>
      <c r="P231" s="484"/>
      <c r="Q231" s="411"/>
      <c r="R231" s="411"/>
      <c r="S231" s="699"/>
      <c r="T231" s="486"/>
      <c r="U231" s="608"/>
      <c r="V231" s="608"/>
      <c r="W231" s="608"/>
      <c r="X231" s="374">
        <v>600000</v>
      </c>
    </row>
    <row r="232" spans="1:26" s="19" customFormat="1" ht="15" customHeight="1">
      <c r="A232" s="1020"/>
      <c r="B232" s="1019"/>
      <c r="C232" s="1022"/>
      <c r="D232" s="1013"/>
      <c r="E232" s="1015"/>
      <c r="F232" s="1080"/>
      <c r="G232" s="1058"/>
      <c r="H232" s="499"/>
      <c r="I232" s="484" t="s">
        <v>162</v>
      </c>
      <c r="J232" s="484"/>
      <c r="K232" s="484"/>
      <c r="L232" s="484"/>
      <c r="M232" s="484"/>
      <c r="N232" s="484"/>
      <c r="O232" s="484"/>
      <c r="P232" s="484"/>
      <c r="Q232" s="411"/>
      <c r="R232" s="411"/>
      <c r="S232" s="699"/>
      <c r="T232" s="486"/>
      <c r="U232" s="608"/>
      <c r="V232" s="608"/>
      <c r="W232" s="608"/>
      <c r="X232" s="374">
        <v>7867140</v>
      </c>
    </row>
    <row r="233" spans="1:26" s="19" customFormat="1" ht="15" hidden="1" customHeight="1">
      <c r="A233" s="1020"/>
      <c r="B233" s="1019"/>
      <c r="C233" s="1023"/>
      <c r="D233" s="1014"/>
      <c r="E233" s="1016"/>
      <c r="F233" s="1079"/>
      <c r="G233" s="1058"/>
      <c r="H233" s="499"/>
      <c r="I233" s="450" t="s">
        <v>137</v>
      </c>
      <c r="J233" s="484"/>
      <c r="K233" s="484"/>
      <c r="L233" s="484"/>
      <c r="M233" s="484"/>
      <c r="N233" s="484"/>
      <c r="O233" s="484"/>
      <c r="P233" s="484"/>
      <c r="Q233" s="411"/>
      <c r="R233" s="411"/>
      <c r="S233" s="699"/>
      <c r="T233" s="486"/>
      <c r="U233" s="608"/>
      <c r="V233" s="608"/>
      <c r="W233" s="608"/>
      <c r="X233" s="374">
        <v>0</v>
      </c>
      <c r="Y233" s="22"/>
      <c r="Z233" s="22"/>
    </row>
    <row r="234" spans="1:26" s="19" customFormat="1" ht="15" customHeight="1">
      <c r="A234" s="1020"/>
      <c r="B234" s="1019"/>
      <c r="C234" s="1023"/>
      <c r="D234" s="1014"/>
      <c r="E234" s="1016"/>
      <c r="F234" s="1079"/>
      <c r="G234" s="1058"/>
      <c r="H234" s="499"/>
      <c r="I234" s="484" t="s">
        <v>191</v>
      </c>
      <c r="J234" s="484"/>
      <c r="K234" s="484"/>
      <c r="L234" s="484"/>
      <c r="M234" s="484"/>
      <c r="N234" s="484"/>
      <c r="O234" s="484"/>
      <c r="P234" s="484"/>
      <c r="Q234" s="411"/>
      <c r="R234" s="411"/>
      <c r="S234" s="699"/>
      <c r="T234" s="486"/>
      <c r="U234" s="608"/>
      <c r="V234" s="608"/>
      <c r="W234" s="608"/>
      <c r="X234" s="374">
        <v>3000000</v>
      </c>
    </row>
    <row r="235" spans="1:26" s="19" customFormat="1" ht="15" hidden="1" customHeight="1">
      <c r="A235" s="1020"/>
      <c r="B235" s="1019"/>
      <c r="C235" s="1023"/>
      <c r="D235" s="1014"/>
      <c r="E235" s="1016"/>
      <c r="F235" s="1079"/>
      <c r="G235" s="1058"/>
      <c r="H235" s="499"/>
      <c r="I235" s="484" t="s">
        <v>329</v>
      </c>
      <c r="J235" s="484"/>
      <c r="K235" s="484"/>
      <c r="L235" s="484"/>
      <c r="M235" s="484"/>
      <c r="N235" s="484"/>
      <c r="O235" s="484"/>
      <c r="P235" s="484"/>
      <c r="Q235" s="411"/>
      <c r="R235" s="411"/>
      <c r="S235" s="699"/>
      <c r="T235" s="486"/>
      <c r="U235" s="608"/>
      <c r="V235" s="608"/>
      <c r="W235" s="608"/>
      <c r="X235" s="374">
        <v>0</v>
      </c>
    </row>
    <row r="236" spans="1:26" s="19" customFormat="1" ht="15" hidden="1" customHeight="1">
      <c r="A236" s="1020"/>
      <c r="B236" s="1019"/>
      <c r="C236" s="1023"/>
      <c r="D236" s="1014"/>
      <c r="E236" s="1016"/>
      <c r="F236" s="1079"/>
      <c r="G236" s="1058"/>
      <c r="H236" s="499"/>
      <c r="I236" s="484" t="s">
        <v>330</v>
      </c>
      <c r="J236" s="484"/>
      <c r="K236" s="484"/>
      <c r="L236" s="484"/>
      <c r="M236" s="484"/>
      <c r="N236" s="484"/>
      <c r="O236" s="484"/>
      <c r="P236" s="484"/>
      <c r="Q236" s="411"/>
      <c r="R236" s="411"/>
      <c r="S236" s="699"/>
      <c r="T236" s="486"/>
      <c r="U236" s="608"/>
      <c r="V236" s="608"/>
      <c r="W236" s="608"/>
      <c r="X236" s="374">
        <v>0</v>
      </c>
    </row>
    <row r="237" spans="1:26" s="19" customFormat="1" ht="15" hidden="1" customHeight="1">
      <c r="A237" s="1020"/>
      <c r="B237" s="1019"/>
      <c r="C237" s="1023"/>
      <c r="D237" s="1014"/>
      <c r="E237" s="1016"/>
      <c r="F237" s="1079"/>
      <c r="G237" s="1058"/>
      <c r="H237" s="499"/>
      <c r="I237" s="484" t="s">
        <v>331</v>
      </c>
      <c r="J237" s="484"/>
      <c r="K237" s="484"/>
      <c r="L237" s="484"/>
      <c r="M237" s="484"/>
      <c r="N237" s="484"/>
      <c r="O237" s="484"/>
      <c r="P237" s="484"/>
      <c r="Q237" s="411"/>
      <c r="R237" s="411"/>
      <c r="S237" s="699"/>
      <c r="T237" s="486"/>
      <c r="U237" s="608"/>
      <c r="V237" s="608"/>
      <c r="W237" s="608"/>
      <c r="X237" s="374">
        <v>0</v>
      </c>
    </row>
    <row r="238" spans="1:26" s="19" customFormat="1" ht="15" customHeight="1">
      <c r="A238" s="1020"/>
      <c r="B238" s="1019"/>
      <c r="C238" s="1023"/>
      <c r="D238" s="1014"/>
      <c r="E238" s="1016"/>
      <c r="F238" s="1079"/>
      <c r="G238" s="1058"/>
      <c r="H238" s="499"/>
      <c r="I238" s="484" t="s">
        <v>332</v>
      </c>
      <c r="J238" s="484"/>
      <c r="K238" s="484"/>
      <c r="L238" s="484"/>
      <c r="M238" s="484"/>
      <c r="N238" s="484"/>
      <c r="O238" s="484"/>
      <c r="P238" s="484"/>
      <c r="Q238" s="411"/>
      <c r="R238" s="411"/>
      <c r="S238" s="699"/>
      <c r="T238" s="486"/>
      <c r="U238" s="608"/>
      <c r="V238" s="608"/>
      <c r="W238" s="608"/>
      <c r="X238" s="374">
        <v>5000000</v>
      </c>
    </row>
    <row r="239" spans="1:26" s="19" customFormat="1" ht="15" customHeight="1">
      <c r="A239" s="1020"/>
      <c r="B239" s="1019"/>
      <c r="C239" s="1023"/>
      <c r="D239" s="1014"/>
      <c r="E239" s="1016"/>
      <c r="F239" s="1079"/>
      <c r="G239" s="1058"/>
      <c r="H239" s="499"/>
      <c r="I239" s="484" t="s">
        <v>333</v>
      </c>
      <c r="J239" s="484"/>
      <c r="K239" s="484"/>
      <c r="L239" s="484"/>
      <c r="M239" s="484"/>
      <c r="N239" s="484"/>
      <c r="O239" s="484"/>
      <c r="P239" s="484"/>
      <c r="Q239" s="411"/>
      <c r="R239" s="411"/>
      <c r="S239" s="699"/>
      <c r="T239" s="486"/>
      <c r="U239" s="608"/>
      <c r="V239" s="608"/>
      <c r="W239" s="608"/>
      <c r="X239" s="374">
        <v>1721600</v>
      </c>
    </row>
    <row r="240" spans="1:26" s="19" customFormat="1" ht="15" customHeight="1">
      <c r="A240" s="1020"/>
      <c r="B240" s="1019"/>
      <c r="C240" s="1023"/>
      <c r="D240" s="1014"/>
      <c r="E240" s="1016"/>
      <c r="F240" s="1079"/>
      <c r="G240" s="1058"/>
      <c r="H240" s="499"/>
      <c r="I240" s="484" t="s">
        <v>356</v>
      </c>
      <c r="J240" s="484"/>
      <c r="K240" s="484"/>
      <c r="L240" s="484"/>
      <c r="M240" s="484"/>
      <c r="N240" s="484"/>
      <c r="O240" s="484"/>
      <c r="P240" s="484"/>
      <c r="Q240" s="411"/>
      <c r="R240" s="411"/>
      <c r="S240" s="699"/>
      <c r="T240" s="486"/>
      <c r="U240" s="608"/>
      <c r="V240" s="608"/>
      <c r="W240" s="608"/>
      <c r="X240" s="374">
        <v>3000000</v>
      </c>
    </row>
    <row r="241" spans="1:26" s="19" customFormat="1" ht="15" customHeight="1">
      <c r="A241" s="1020"/>
      <c r="B241" s="1019"/>
      <c r="C241" s="1023"/>
      <c r="D241" s="1014"/>
      <c r="E241" s="1016"/>
      <c r="F241" s="1079"/>
      <c r="G241" s="1059"/>
      <c r="H241" s="499"/>
      <c r="I241" s="484" t="s">
        <v>357</v>
      </c>
      <c r="J241" s="484"/>
      <c r="K241" s="484"/>
      <c r="L241" s="484"/>
      <c r="M241" s="484"/>
      <c r="N241" s="484"/>
      <c r="O241" s="484"/>
      <c r="P241" s="484"/>
      <c r="Q241" s="411"/>
      <c r="R241" s="411"/>
      <c r="S241" s="678"/>
      <c r="T241" s="486"/>
      <c r="U241" s="678"/>
      <c r="V241" s="678"/>
      <c r="W241" s="678"/>
      <c r="X241" s="374">
        <v>1778400</v>
      </c>
    </row>
    <row r="242" spans="1:26" s="19" customFormat="1" ht="15" customHeight="1">
      <c r="A242" s="1020"/>
      <c r="B242" s="1019"/>
      <c r="C242" s="47" t="s">
        <v>127</v>
      </c>
      <c r="D242" s="46">
        <f>D243</f>
        <v>82176.259999999995</v>
      </c>
      <c r="E242" s="46">
        <f>E243</f>
        <v>70821.828999999998</v>
      </c>
      <c r="F242" s="46">
        <f>F243</f>
        <v>-11354.430999999997</v>
      </c>
      <c r="G242" s="247">
        <f>E242/D242</f>
        <v>0.86182833095592326</v>
      </c>
      <c r="H242" s="1038">
        <f>ROUND((M242+R242+X242+V242+W242)/1,0)</f>
        <v>70822</v>
      </c>
      <c r="I242" s="1039"/>
      <c r="J242" s="1039"/>
      <c r="K242" s="1039"/>
      <c r="L242" s="1040"/>
      <c r="M242" s="1038">
        <f>R242</f>
        <v>32405</v>
      </c>
      <c r="N242" s="1039"/>
      <c r="O242" s="1039"/>
      <c r="P242" s="1039"/>
      <c r="Q242" s="1040"/>
      <c r="R242" s="1038">
        <f>(ROUNDUP((SUM(X245:X250,X244:X244,X252))/1000,0))/2-506</f>
        <v>32405</v>
      </c>
      <c r="S242" s="1039"/>
      <c r="T242" s="1039"/>
      <c r="U242" s="1040"/>
      <c r="V242" s="648">
        <f>X251/1000</f>
        <v>5000</v>
      </c>
      <c r="W242" s="649">
        <f>1012</f>
        <v>1012</v>
      </c>
      <c r="X242" s="371">
        <v>0</v>
      </c>
    </row>
    <row r="243" spans="1:26" s="19" customFormat="1" ht="12.2" customHeight="1">
      <c r="A243" s="1020"/>
      <c r="B243" s="1019"/>
      <c r="C243" s="973" t="s">
        <v>94</v>
      </c>
      <c r="D243" s="1017">
        <f>82176260/1000</f>
        <v>82176.259999999995</v>
      </c>
      <c r="E243" s="1017">
        <f>+(X243)/1000</f>
        <v>70821.828999999998</v>
      </c>
      <c r="F243" s="1068">
        <f>+E243-D243</f>
        <v>-11354.430999999997</v>
      </c>
      <c r="G243" s="998">
        <f>E243/D243</f>
        <v>0.86182833095592326</v>
      </c>
      <c r="H243" s="438"/>
      <c r="I243" s="440" t="s">
        <v>94</v>
      </c>
      <c r="J243" s="440"/>
      <c r="K243" s="440"/>
      <c r="L243" s="440"/>
      <c r="M243" s="440"/>
      <c r="N243" s="440"/>
      <c r="O243" s="440"/>
      <c r="P243" s="440"/>
      <c r="Q243" s="441"/>
      <c r="R243" s="441"/>
      <c r="S243" s="698"/>
      <c r="T243" s="443"/>
      <c r="U243" s="444"/>
      <c r="V243" s="444"/>
      <c r="W243" s="444" t="s">
        <v>50</v>
      </c>
      <c r="X243" s="372">
        <f>SUM(X245:X252)</f>
        <v>70821829</v>
      </c>
    </row>
    <row r="244" spans="1:26" s="19" customFormat="1" ht="15" hidden="1" customHeight="1" thickBot="1">
      <c r="A244" s="1020"/>
      <c r="B244" s="1019"/>
      <c r="C244" s="973"/>
      <c r="D244" s="1017"/>
      <c r="E244" s="1017"/>
      <c r="F244" s="1068"/>
      <c r="G244" s="999"/>
      <c r="H244" s="499"/>
      <c r="I244" s="484" t="s">
        <v>176</v>
      </c>
      <c r="J244" s="484"/>
      <c r="K244" s="484"/>
      <c r="L244" s="484"/>
      <c r="M244" s="484"/>
      <c r="N244" s="484"/>
      <c r="O244" s="484"/>
      <c r="P244" s="484"/>
      <c r="Q244" s="411"/>
      <c r="R244" s="411"/>
      <c r="S244" s="678"/>
      <c r="T244" s="486"/>
      <c r="U244" s="608">
        <v>2</v>
      </c>
      <c r="V244" s="608"/>
      <c r="W244" s="608"/>
      <c r="X244" s="374">
        <v>0</v>
      </c>
    </row>
    <row r="245" spans="1:26" s="19" customFormat="1" ht="15" customHeight="1">
      <c r="A245" s="1020"/>
      <c r="B245" s="1019"/>
      <c r="C245" s="973"/>
      <c r="D245" s="1017"/>
      <c r="E245" s="1017"/>
      <c r="F245" s="1068"/>
      <c r="G245" s="999"/>
      <c r="H245" s="499"/>
      <c r="I245" s="450" t="s">
        <v>334</v>
      </c>
      <c r="J245" s="484"/>
      <c r="K245" s="484"/>
      <c r="L245" s="484"/>
      <c r="M245" s="484"/>
      <c r="N245" s="484"/>
      <c r="O245" s="484"/>
      <c r="P245" s="484"/>
      <c r="Q245" s="411"/>
      <c r="R245" s="411"/>
      <c r="S245" s="699"/>
      <c r="T245" s="486"/>
      <c r="U245" s="608"/>
      <c r="V245" s="608"/>
      <c r="W245" s="608"/>
      <c r="X245" s="374">
        <v>648000</v>
      </c>
    </row>
    <row r="246" spans="1:26" s="19" customFormat="1" ht="15" customHeight="1">
      <c r="A246" s="1020"/>
      <c r="B246" s="1019"/>
      <c r="C246" s="973"/>
      <c r="D246" s="1017"/>
      <c r="E246" s="1017"/>
      <c r="F246" s="1068"/>
      <c r="G246" s="999"/>
      <c r="H246" s="499"/>
      <c r="I246" s="450" t="s">
        <v>335</v>
      </c>
      <c r="J246" s="484"/>
      <c r="K246" s="484"/>
      <c r="L246" s="484"/>
      <c r="M246" s="484"/>
      <c r="N246" s="484"/>
      <c r="O246" s="484"/>
      <c r="P246" s="484"/>
      <c r="Q246" s="411"/>
      <c r="R246" s="411"/>
      <c r="S246" s="699"/>
      <c r="T246" s="486"/>
      <c r="U246" s="608"/>
      <c r="V246" s="608"/>
      <c r="W246" s="608"/>
      <c r="X246" s="374">
        <v>2490000</v>
      </c>
    </row>
    <row r="247" spans="1:26" s="19" customFormat="1" ht="15" customHeight="1">
      <c r="A247" s="1020"/>
      <c r="B247" s="1019"/>
      <c r="C247" s="973"/>
      <c r="D247" s="1017"/>
      <c r="E247" s="1017"/>
      <c r="F247" s="1068"/>
      <c r="G247" s="999"/>
      <c r="H247" s="499"/>
      <c r="I247" s="450" t="s">
        <v>273</v>
      </c>
      <c r="J247" s="484"/>
      <c r="K247" s="484"/>
      <c r="L247" s="484"/>
      <c r="M247" s="484"/>
      <c r="N247" s="484"/>
      <c r="O247" s="484"/>
      <c r="P247" s="484"/>
      <c r="Q247" s="411"/>
      <c r="R247" s="411"/>
      <c r="S247" s="699"/>
      <c r="T247" s="486"/>
      <c r="U247" s="608"/>
      <c r="V247" s="608"/>
      <c r="W247" s="608"/>
      <c r="X247" s="374">
        <f>13948539+15000000</f>
        <v>28948539</v>
      </c>
    </row>
    <row r="248" spans="1:26" s="19" customFormat="1" ht="15" customHeight="1">
      <c r="A248" s="1020"/>
      <c r="B248" s="1019"/>
      <c r="C248" s="973"/>
      <c r="D248" s="1017"/>
      <c r="E248" s="1017"/>
      <c r="F248" s="1068"/>
      <c r="G248" s="999"/>
      <c r="H248" s="499"/>
      <c r="I248" s="450" t="s">
        <v>336</v>
      </c>
      <c r="J248" s="484"/>
      <c r="K248" s="484"/>
      <c r="L248" s="484"/>
      <c r="M248" s="484"/>
      <c r="N248" s="484"/>
      <c r="O248" s="484"/>
      <c r="P248" s="484"/>
      <c r="Q248" s="411"/>
      <c r="R248" s="411"/>
      <c r="S248" s="699"/>
      <c r="T248" s="486"/>
      <c r="U248" s="608"/>
      <c r="V248" s="608"/>
      <c r="W248" s="608"/>
      <c r="X248" s="374">
        <v>12440450</v>
      </c>
    </row>
    <row r="249" spans="1:26" s="19" customFormat="1" ht="15" customHeight="1">
      <c r="A249" s="1020"/>
      <c r="B249" s="1019"/>
      <c r="C249" s="973"/>
      <c r="D249" s="1017"/>
      <c r="E249" s="1017"/>
      <c r="F249" s="1068"/>
      <c r="G249" s="999"/>
      <c r="H249" s="499"/>
      <c r="I249" s="450" t="s">
        <v>274</v>
      </c>
      <c r="J249" s="484"/>
      <c r="K249" s="484"/>
      <c r="L249" s="484"/>
      <c r="M249" s="484"/>
      <c r="N249" s="484"/>
      <c r="O249" s="484"/>
      <c r="P249" s="484"/>
      <c r="Q249" s="411"/>
      <c r="R249" s="411"/>
      <c r="S249" s="699"/>
      <c r="T249" s="486"/>
      <c r="U249" s="608"/>
      <c r="V249" s="608"/>
      <c r="W249" s="608"/>
      <c r="X249" s="374">
        <v>8469740</v>
      </c>
    </row>
    <row r="250" spans="1:26" s="19" customFormat="1" ht="15" customHeight="1">
      <c r="A250" s="1020"/>
      <c r="B250" s="1019"/>
      <c r="C250" s="973"/>
      <c r="D250" s="1017"/>
      <c r="E250" s="1017"/>
      <c r="F250" s="1068"/>
      <c r="G250" s="999"/>
      <c r="H250" s="499"/>
      <c r="I250" s="450" t="s">
        <v>275</v>
      </c>
      <c r="J250" s="484"/>
      <c r="K250" s="484"/>
      <c r="L250" s="484"/>
      <c r="M250" s="484"/>
      <c r="N250" s="484"/>
      <c r="O250" s="484"/>
      <c r="P250" s="484"/>
      <c r="Q250" s="411"/>
      <c r="R250" s="411"/>
      <c r="S250" s="699"/>
      <c r="T250" s="486"/>
      <c r="U250" s="608"/>
      <c r="V250" s="608"/>
      <c r="W250" s="608"/>
      <c r="X250" s="374">
        <f>836000</f>
        <v>836000</v>
      </c>
    </row>
    <row r="251" spans="1:26" s="19" customFormat="1" ht="15" customHeight="1">
      <c r="A251" s="1020"/>
      <c r="B251" s="1019"/>
      <c r="C251" s="973"/>
      <c r="D251" s="1017"/>
      <c r="E251" s="1017"/>
      <c r="F251" s="1068"/>
      <c r="G251" s="999"/>
      <c r="H251" s="499"/>
      <c r="I251" s="484" t="s">
        <v>254</v>
      </c>
      <c r="J251" s="484"/>
      <c r="K251" s="484"/>
      <c r="L251" s="484"/>
      <c r="M251" s="484"/>
      <c r="N251" s="484"/>
      <c r="O251" s="484"/>
      <c r="P251" s="484"/>
      <c r="Q251" s="411"/>
      <c r="R251" s="411"/>
      <c r="S251" s="678"/>
      <c r="T251" s="486"/>
      <c r="U251" s="608"/>
      <c r="V251" s="608"/>
      <c r="W251" s="608"/>
      <c r="X251" s="374">
        <v>5000000</v>
      </c>
    </row>
    <row r="252" spans="1:26" s="19" customFormat="1" ht="15" customHeight="1">
      <c r="A252" s="1020"/>
      <c r="B252" s="1019"/>
      <c r="C252" s="973"/>
      <c r="D252" s="1017"/>
      <c r="E252" s="1017"/>
      <c r="F252" s="1068"/>
      <c r="G252" s="1000"/>
      <c r="H252" s="499"/>
      <c r="I252" s="484" t="s">
        <v>122</v>
      </c>
      <c r="J252" s="484"/>
      <c r="K252" s="484"/>
      <c r="L252" s="484"/>
      <c r="M252" s="484"/>
      <c r="N252" s="484"/>
      <c r="O252" s="484"/>
      <c r="P252" s="484"/>
      <c r="Q252" s="411"/>
      <c r="R252" s="411"/>
      <c r="S252" s="678"/>
      <c r="T252" s="486"/>
      <c r="U252" s="527"/>
      <c r="V252" s="527"/>
      <c r="W252" s="527"/>
      <c r="X252" s="374">
        <v>11989100</v>
      </c>
    </row>
    <row r="253" spans="1:26" s="19" customFormat="1" ht="15" customHeight="1">
      <c r="A253" s="1020"/>
      <c r="B253" s="1019"/>
      <c r="C253" s="48" t="s">
        <v>127</v>
      </c>
      <c r="D253" s="46">
        <f>SUM(D254)</f>
        <v>159144.77900000001</v>
      </c>
      <c r="E253" s="46">
        <f>SUM(E254)</f>
        <v>133858</v>
      </c>
      <c r="F253" s="46">
        <f>F254</f>
        <v>-25286.77900000001</v>
      </c>
      <c r="G253" s="247">
        <f>E253/D253</f>
        <v>0.84110833444306699</v>
      </c>
      <c r="H253" s="1038">
        <f>SUM(M253:X253)</f>
        <v>133859</v>
      </c>
      <c r="I253" s="1039"/>
      <c r="J253" s="1039"/>
      <c r="K253" s="1039"/>
      <c r="L253" s="1040"/>
      <c r="M253" s="1038">
        <f>R253</f>
        <v>18574.5</v>
      </c>
      <c r="N253" s="1039"/>
      <c r="O253" s="1039"/>
      <c r="P253" s="1039"/>
      <c r="Q253" s="1040"/>
      <c r="R253" s="1038">
        <f>(ROUND((SUM(X255:X260,X262,X265,X264:X266,X277:X280, 6716600, 1897220))/1000,0))/2</f>
        <v>18574.5</v>
      </c>
      <c r="S253" s="1039"/>
      <c r="T253" s="1039"/>
      <c r="U253" s="1040"/>
      <c r="V253" s="648">
        <v>0</v>
      </c>
      <c r="W253" s="649">
        <f>(ROUNDUP((X271+X268+X267+X270+X269+3763000+2930830)/1000,0))</f>
        <v>82769</v>
      </c>
      <c r="X253" s="371">
        <f>(ROUND((X273+X274+8760146+702849+X272+3000000)/1000,0))</f>
        <v>13941</v>
      </c>
      <c r="Z253" s="22"/>
    </row>
    <row r="254" spans="1:26" s="19" customFormat="1" ht="15" customHeight="1">
      <c r="A254" s="1020"/>
      <c r="B254" s="1019"/>
      <c r="C254" s="1022" t="s">
        <v>167</v>
      </c>
      <c r="D254" s="1013">
        <f>159144779/1000</f>
        <v>159144.77900000001</v>
      </c>
      <c r="E254" s="1013">
        <f>ROUND((SUM(X254))/1000,0)</f>
        <v>133858</v>
      </c>
      <c r="F254" s="1024">
        <f>+E254-D254</f>
        <v>-25286.77900000001</v>
      </c>
      <c r="G254" s="1056">
        <f>E254/D254</f>
        <v>0.84110833444306699</v>
      </c>
      <c r="H254" s="438"/>
      <c r="I254" s="700" t="s">
        <v>167</v>
      </c>
      <c r="J254" s="701"/>
      <c r="K254" s="702"/>
      <c r="L254" s="702"/>
      <c r="M254" s="702"/>
      <c r="N254" s="702"/>
      <c r="O254" s="702"/>
      <c r="P254" s="702"/>
      <c r="Q254" s="703"/>
      <c r="R254" s="703"/>
      <c r="S254" s="704"/>
      <c r="T254" s="705"/>
      <c r="U254" s="444"/>
      <c r="V254" s="444"/>
      <c r="W254" s="444" t="s">
        <v>348</v>
      </c>
      <c r="X254" s="404">
        <f>SUM(X255:X280)</f>
        <v>133858306</v>
      </c>
      <c r="Y254" s="22"/>
      <c r="Z254" s="22"/>
    </row>
    <row r="255" spans="1:26" s="19" customFormat="1" ht="15" customHeight="1">
      <c r="A255" s="1020"/>
      <c r="B255" s="1019"/>
      <c r="C255" s="1023"/>
      <c r="D255" s="1014"/>
      <c r="E255" s="1014"/>
      <c r="F255" s="1025"/>
      <c r="G255" s="1058"/>
      <c r="H255" s="499"/>
      <c r="I255" s="702" t="s">
        <v>4</v>
      </c>
      <c r="J255" s="702"/>
      <c r="K255" s="702"/>
      <c r="L255" s="702"/>
      <c r="M255" s="702"/>
      <c r="N255" s="702"/>
      <c r="O255" s="702"/>
      <c r="P255" s="702"/>
      <c r="Q255" s="703"/>
      <c r="R255" s="703"/>
      <c r="S255" s="706"/>
      <c r="T255" s="705"/>
      <c r="U255" s="707">
        <v>5</v>
      </c>
      <c r="V255" s="707"/>
      <c r="W255" s="707"/>
      <c r="X255" s="405">
        <v>871460</v>
      </c>
      <c r="Y255" s="22"/>
      <c r="Z255" s="22"/>
    </row>
    <row r="256" spans="1:26" s="19" customFormat="1" ht="15" hidden="1" customHeight="1">
      <c r="A256" s="1020"/>
      <c r="B256" s="1019"/>
      <c r="C256" s="1022"/>
      <c r="D256" s="1013"/>
      <c r="E256" s="1013"/>
      <c r="F256" s="1024"/>
      <c r="G256" s="1058"/>
      <c r="H256" s="499"/>
      <c r="I256" s="484" t="s">
        <v>234</v>
      </c>
      <c r="J256" s="484"/>
      <c r="K256" s="484"/>
      <c r="L256" s="484"/>
      <c r="M256" s="484"/>
      <c r="N256" s="484"/>
      <c r="O256" s="484"/>
      <c r="P256" s="484"/>
      <c r="Q256" s="411"/>
      <c r="R256" s="411"/>
      <c r="S256" s="708"/>
      <c r="T256" s="486"/>
      <c r="U256" s="608"/>
      <c r="V256" s="608"/>
      <c r="W256" s="608"/>
      <c r="X256" s="406">
        <v>0</v>
      </c>
      <c r="Y256" s="22"/>
      <c r="Z256" s="22"/>
    </row>
    <row r="257" spans="1:32" s="19" customFormat="1" ht="15" customHeight="1">
      <c r="A257" s="1020"/>
      <c r="B257" s="1019"/>
      <c r="C257" s="1023"/>
      <c r="D257" s="1014"/>
      <c r="E257" s="1014"/>
      <c r="F257" s="1025"/>
      <c r="G257" s="1058"/>
      <c r="H257" s="499"/>
      <c r="I257" s="484" t="s">
        <v>115</v>
      </c>
      <c r="J257" s="484"/>
      <c r="K257" s="484"/>
      <c r="L257" s="484"/>
      <c r="M257" s="484"/>
      <c r="N257" s="484"/>
      <c r="O257" s="484"/>
      <c r="P257" s="484"/>
      <c r="Q257" s="411"/>
      <c r="R257" s="411"/>
      <c r="S257" s="708"/>
      <c r="T257" s="486"/>
      <c r="U257" s="608"/>
      <c r="V257" s="608"/>
      <c r="W257" s="608"/>
      <c r="X257" s="406">
        <v>3000000</v>
      </c>
      <c r="Y257" s="22"/>
      <c r="Z257" s="22"/>
    </row>
    <row r="258" spans="1:32" s="19" customFormat="1" ht="15" customHeight="1">
      <c r="A258" s="1020"/>
      <c r="B258" s="1019"/>
      <c r="C258" s="1022"/>
      <c r="D258" s="1013"/>
      <c r="E258" s="1013"/>
      <c r="F258" s="1024"/>
      <c r="G258" s="1058"/>
      <c r="H258" s="499"/>
      <c r="I258" s="450" t="s">
        <v>80</v>
      </c>
      <c r="J258" s="484"/>
      <c r="K258" s="484"/>
      <c r="L258" s="484"/>
      <c r="M258" s="484"/>
      <c r="N258" s="484"/>
      <c r="O258" s="484"/>
      <c r="P258" s="484"/>
      <c r="Q258" s="411"/>
      <c r="R258" s="411"/>
      <c r="S258" s="708"/>
      <c r="T258" s="486"/>
      <c r="U258" s="608"/>
      <c r="V258" s="608"/>
      <c r="W258" s="608"/>
      <c r="X258" s="406">
        <v>1000000</v>
      </c>
      <c r="Y258" s="22"/>
      <c r="Z258" s="22"/>
    </row>
    <row r="259" spans="1:32" s="19" customFormat="1" ht="15" customHeight="1">
      <c r="A259" s="1020"/>
      <c r="B259" s="1019"/>
      <c r="C259" s="1023"/>
      <c r="D259" s="1014"/>
      <c r="E259" s="1014"/>
      <c r="F259" s="1025"/>
      <c r="G259" s="1058"/>
      <c r="H259" s="499"/>
      <c r="I259" s="484" t="s">
        <v>7</v>
      </c>
      <c r="J259" s="484"/>
      <c r="K259" s="484"/>
      <c r="L259" s="484"/>
      <c r="M259" s="484"/>
      <c r="N259" s="484"/>
      <c r="O259" s="484"/>
      <c r="P259" s="484"/>
      <c r="Q259" s="411"/>
      <c r="R259" s="411"/>
      <c r="S259" s="708"/>
      <c r="T259" s="486"/>
      <c r="U259" s="608"/>
      <c r="V259" s="608"/>
      <c r="W259" s="608"/>
      <c r="X259" s="406">
        <v>5940000</v>
      </c>
      <c r="Y259" s="22"/>
      <c r="Z259" s="22"/>
    </row>
    <row r="260" spans="1:32" s="285" customFormat="1" ht="15" customHeight="1">
      <c r="A260" s="1020"/>
      <c r="B260" s="1019"/>
      <c r="C260" s="1023"/>
      <c r="D260" s="1014"/>
      <c r="E260" s="1014"/>
      <c r="F260" s="1025"/>
      <c r="G260" s="1058"/>
      <c r="H260" s="499"/>
      <c r="I260" s="484" t="s">
        <v>283</v>
      </c>
      <c r="J260" s="484"/>
      <c r="K260" s="484"/>
      <c r="L260" s="484"/>
      <c r="M260" s="484"/>
      <c r="N260" s="484"/>
      <c r="O260" s="484"/>
      <c r="P260" s="484"/>
      <c r="Q260" s="411"/>
      <c r="R260" s="411"/>
      <c r="S260" s="708"/>
      <c r="T260" s="486"/>
      <c r="U260" s="608"/>
      <c r="V260" s="608"/>
      <c r="W260" s="608"/>
      <c r="X260" s="406">
        <v>3708130</v>
      </c>
      <c r="Y260" s="284"/>
      <c r="Z260" s="284"/>
    </row>
    <row r="261" spans="1:32" s="19" customFormat="1" ht="15" customHeight="1">
      <c r="A261" s="1020"/>
      <c r="B261" s="1019"/>
      <c r="C261" s="1022"/>
      <c r="D261" s="1013"/>
      <c r="E261" s="1013"/>
      <c r="F261" s="1024"/>
      <c r="G261" s="1058"/>
      <c r="H261" s="499"/>
      <c r="I261" s="484" t="s">
        <v>337</v>
      </c>
      <c r="J261" s="484"/>
      <c r="K261" s="484"/>
      <c r="L261" s="484"/>
      <c r="M261" s="484"/>
      <c r="N261" s="484"/>
      <c r="O261" s="484"/>
      <c r="P261" s="484"/>
      <c r="Q261" s="411"/>
      <c r="R261" s="411"/>
      <c r="S261" s="708"/>
      <c r="T261" s="486"/>
      <c r="U261" s="608"/>
      <c r="V261" s="608"/>
      <c r="W261" s="608"/>
      <c r="X261" s="406">
        <v>10479600</v>
      </c>
      <c r="Y261" s="22"/>
      <c r="Z261" s="22"/>
      <c r="AF261" s="106"/>
    </row>
    <row r="262" spans="1:32" s="19" customFormat="1" ht="15" customHeight="1">
      <c r="A262" s="1020"/>
      <c r="B262" s="1019"/>
      <c r="C262" s="1023"/>
      <c r="D262" s="1014"/>
      <c r="E262" s="1014"/>
      <c r="F262" s="1025"/>
      <c r="G262" s="1058"/>
      <c r="H262" s="499"/>
      <c r="I262" s="484" t="s">
        <v>164</v>
      </c>
      <c r="J262" s="484"/>
      <c r="K262" s="484"/>
      <c r="L262" s="484"/>
      <c r="M262" s="484"/>
      <c r="N262" s="484"/>
      <c r="O262" s="484"/>
      <c r="P262" s="484"/>
      <c r="Q262" s="411"/>
      <c r="R262" s="411"/>
      <c r="S262" s="708"/>
      <c r="T262" s="486"/>
      <c r="U262" s="608"/>
      <c r="V262" s="608"/>
      <c r="W262" s="608"/>
      <c r="X262" s="406">
        <v>2271930</v>
      </c>
      <c r="Y262" s="22"/>
      <c r="Z262" s="22"/>
      <c r="AF262" s="95"/>
    </row>
    <row r="263" spans="1:32" s="19" customFormat="1" ht="15" customHeight="1">
      <c r="A263" s="1020"/>
      <c r="B263" s="1019"/>
      <c r="C263" s="1023"/>
      <c r="D263" s="1014"/>
      <c r="E263" s="1014"/>
      <c r="F263" s="1025"/>
      <c r="G263" s="1058"/>
      <c r="H263" s="499"/>
      <c r="I263" s="450" t="s">
        <v>338</v>
      </c>
      <c r="J263" s="484"/>
      <c r="K263" s="484"/>
      <c r="L263" s="484"/>
      <c r="M263" s="484"/>
      <c r="N263" s="484"/>
      <c r="O263" s="484"/>
      <c r="P263" s="484"/>
      <c r="Q263" s="411"/>
      <c r="R263" s="411"/>
      <c r="S263" s="699"/>
      <c r="T263" s="486"/>
      <c r="U263" s="608"/>
      <c r="V263" s="608"/>
      <c r="W263" s="608"/>
      <c r="X263" s="374">
        <v>5930830</v>
      </c>
      <c r="Y263" s="322"/>
      <c r="Z263" s="322"/>
      <c r="AF263" s="95"/>
    </row>
    <row r="264" spans="1:32" s="19" customFormat="1" ht="15" customHeight="1">
      <c r="A264" s="1020"/>
      <c r="B264" s="1019"/>
      <c r="C264" s="1023"/>
      <c r="D264" s="1014"/>
      <c r="E264" s="1014"/>
      <c r="F264" s="1025"/>
      <c r="G264" s="1058"/>
      <c r="H264" s="499"/>
      <c r="I264" s="484" t="s">
        <v>0</v>
      </c>
      <c r="J264" s="484"/>
      <c r="K264" s="484"/>
      <c r="L264" s="484"/>
      <c r="M264" s="484"/>
      <c r="N264" s="484"/>
      <c r="O264" s="484"/>
      <c r="P264" s="484"/>
      <c r="Q264" s="411"/>
      <c r="R264" s="411"/>
      <c r="S264" s="699"/>
      <c r="T264" s="486"/>
      <c r="U264" s="608">
        <v>5</v>
      </c>
      <c r="V264" s="608"/>
      <c r="W264" s="608"/>
      <c r="X264" s="374">
        <v>3992210</v>
      </c>
      <c r="Y264" s="322"/>
      <c r="Z264" s="322"/>
      <c r="AF264" s="95"/>
    </row>
    <row r="265" spans="1:32" s="19" customFormat="1" ht="15" hidden="1" customHeight="1">
      <c r="A265" s="1020"/>
      <c r="B265" s="1019"/>
      <c r="C265" s="1023"/>
      <c r="D265" s="1014"/>
      <c r="E265" s="1014"/>
      <c r="F265" s="1025"/>
      <c r="G265" s="1058"/>
      <c r="H265" s="499"/>
      <c r="I265" s="484" t="s">
        <v>339</v>
      </c>
      <c r="J265" s="484"/>
      <c r="K265" s="484"/>
      <c r="L265" s="484"/>
      <c r="M265" s="484"/>
      <c r="N265" s="484"/>
      <c r="O265" s="484"/>
      <c r="P265" s="484"/>
      <c r="Q265" s="411"/>
      <c r="R265" s="411"/>
      <c r="S265" s="699"/>
      <c r="T265" s="486"/>
      <c r="U265" s="608"/>
      <c r="V265" s="608"/>
      <c r="W265" s="608"/>
      <c r="X265" s="374">
        <v>0</v>
      </c>
      <c r="Y265" s="22"/>
      <c r="Z265" s="22"/>
      <c r="AF265" s="95"/>
    </row>
    <row r="266" spans="1:32" s="19" customFormat="1" ht="15" customHeight="1">
      <c r="A266" s="1020"/>
      <c r="B266" s="1019"/>
      <c r="C266" s="1023"/>
      <c r="D266" s="1014"/>
      <c r="E266" s="1014"/>
      <c r="F266" s="1025"/>
      <c r="G266" s="1058"/>
      <c r="H266" s="499"/>
      <c r="I266" s="450" t="s">
        <v>78</v>
      </c>
      <c r="J266" s="484"/>
      <c r="K266" s="484"/>
      <c r="L266" s="484"/>
      <c r="M266" s="484"/>
      <c r="N266" s="484"/>
      <c r="O266" s="484"/>
      <c r="P266" s="484"/>
      <c r="Q266" s="411"/>
      <c r="R266" s="411"/>
      <c r="S266" s="699"/>
      <c r="T266" s="486"/>
      <c r="U266" s="608"/>
      <c r="V266" s="608"/>
      <c r="W266" s="608"/>
      <c r="X266" s="374">
        <v>3128540</v>
      </c>
      <c r="Y266" s="22"/>
      <c r="Z266" s="22"/>
      <c r="AF266" s="95"/>
    </row>
    <row r="267" spans="1:32" s="19" customFormat="1" ht="15" customHeight="1">
      <c r="A267" s="1020"/>
      <c r="B267" s="1019"/>
      <c r="C267" s="1023"/>
      <c r="D267" s="1014"/>
      <c r="E267" s="1014"/>
      <c r="F267" s="1025"/>
      <c r="G267" s="1058"/>
      <c r="H267" s="499"/>
      <c r="I267" s="450" t="s">
        <v>340</v>
      </c>
      <c r="J267" s="484"/>
      <c r="K267" s="484"/>
      <c r="L267" s="484"/>
      <c r="M267" s="484"/>
      <c r="N267" s="484"/>
      <c r="O267" s="484"/>
      <c r="P267" s="484"/>
      <c r="Q267" s="411"/>
      <c r="R267" s="411"/>
      <c r="S267" s="699"/>
      <c r="T267" s="486"/>
      <c r="U267" s="608"/>
      <c r="V267" s="608"/>
      <c r="W267" s="608"/>
      <c r="X267" s="374">
        <v>42000000</v>
      </c>
      <c r="Y267" s="22"/>
      <c r="Z267" s="22"/>
      <c r="AF267" s="95"/>
    </row>
    <row r="268" spans="1:32" s="19" customFormat="1" ht="15" customHeight="1">
      <c r="A268" s="1020"/>
      <c r="B268" s="1019"/>
      <c r="C268" s="1023"/>
      <c r="D268" s="1014"/>
      <c r="E268" s="1014"/>
      <c r="F268" s="1025"/>
      <c r="G268" s="1058"/>
      <c r="H268" s="499"/>
      <c r="I268" s="450" t="s">
        <v>341</v>
      </c>
      <c r="J268" s="484"/>
      <c r="K268" s="484"/>
      <c r="L268" s="484"/>
      <c r="M268" s="484"/>
      <c r="N268" s="484"/>
      <c r="O268" s="484"/>
      <c r="P268" s="484"/>
      <c r="Q268" s="411"/>
      <c r="R268" s="411"/>
      <c r="S268" s="699"/>
      <c r="T268" s="486"/>
      <c r="U268" s="608"/>
      <c r="V268" s="608"/>
      <c r="W268" s="608"/>
      <c r="X268" s="374">
        <v>3000000</v>
      </c>
      <c r="Y268" s="273"/>
      <c r="Z268" s="273"/>
      <c r="AF268" s="95"/>
    </row>
    <row r="269" spans="1:32" s="19" customFormat="1" ht="15" customHeight="1">
      <c r="A269" s="1020"/>
      <c r="B269" s="1019"/>
      <c r="C269" s="1023"/>
      <c r="D269" s="1014"/>
      <c r="E269" s="1014"/>
      <c r="F269" s="1025"/>
      <c r="G269" s="1058"/>
      <c r="H269" s="499"/>
      <c r="I269" s="450" t="s">
        <v>342</v>
      </c>
      <c r="J269" s="484"/>
      <c r="K269" s="484"/>
      <c r="L269" s="484"/>
      <c r="M269" s="484"/>
      <c r="N269" s="484"/>
      <c r="O269" s="484"/>
      <c r="P269" s="484"/>
      <c r="Q269" s="411"/>
      <c r="R269" s="411"/>
      <c r="S269" s="699"/>
      <c r="T269" s="486"/>
      <c r="U269" s="608"/>
      <c r="V269" s="608"/>
      <c r="W269" s="608"/>
      <c r="X269" s="374">
        <v>97000</v>
      </c>
      <c r="Y269" s="280"/>
      <c r="Z269" s="280"/>
      <c r="AF269" s="95"/>
    </row>
    <row r="270" spans="1:32" s="19" customFormat="1" ht="15" customHeight="1">
      <c r="A270" s="1020"/>
      <c r="B270" s="1019"/>
      <c r="C270" s="1023"/>
      <c r="D270" s="1014"/>
      <c r="E270" s="1014"/>
      <c r="F270" s="1025"/>
      <c r="G270" s="1058"/>
      <c r="H270" s="499"/>
      <c r="I270" s="450" t="s">
        <v>343</v>
      </c>
      <c r="J270" s="484"/>
      <c r="K270" s="484"/>
      <c r="L270" s="484"/>
      <c r="M270" s="484"/>
      <c r="N270" s="484"/>
      <c r="O270" s="484"/>
      <c r="P270" s="484"/>
      <c r="Q270" s="411"/>
      <c r="R270" s="411"/>
      <c r="S270" s="699"/>
      <c r="T270" s="486"/>
      <c r="U270" s="608"/>
      <c r="V270" s="608"/>
      <c r="W270" s="608"/>
      <c r="X270" s="374">
        <v>25000000</v>
      </c>
      <c r="Y270" s="299"/>
      <c r="Z270" s="299"/>
      <c r="AF270" s="95"/>
    </row>
    <row r="271" spans="1:32" s="19" customFormat="1" ht="15" customHeight="1">
      <c r="A271" s="1020"/>
      <c r="B271" s="1019"/>
      <c r="C271" s="1023"/>
      <c r="D271" s="1014"/>
      <c r="E271" s="1014"/>
      <c r="F271" s="1025"/>
      <c r="G271" s="1058"/>
      <c r="H271" s="499"/>
      <c r="I271" s="450" t="s">
        <v>38</v>
      </c>
      <c r="J271" s="484"/>
      <c r="K271" s="484"/>
      <c r="L271" s="484"/>
      <c r="M271" s="484"/>
      <c r="N271" s="484"/>
      <c r="O271" s="484"/>
      <c r="P271" s="484"/>
      <c r="Q271" s="411"/>
      <c r="R271" s="411"/>
      <c r="S271" s="699"/>
      <c r="T271" s="486"/>
      <c r="U271" s="608"/>
      <c r="V271" s="608"/>
      <c r="W271" s="608"/>
      <c r="X271" s="374">
        <f>2030000+1010570+2923600+3000+10000+29</f>
        <v>5977199</v>
      </c>
      <c r="Y271" s="22"/>
      <c r="Z271" s="22"/>
      <c r="AF271" s="95"/>
    </row>
    <row r="272" spans="1:32" s="19" customFormat="1" ht="15" hidden="1" customHeight="1">
      <c r="A272" s="1020"/>
      <c r="B272" s="1019"/>
      <c r="C272" s="1023"/>
      <c r="D272" s="1014"/>
      <c r="E272" s="1014"/>
      <c r="F272" s="1025"/>
      <c r="G272" s="1058"/>
      <c r="H272" s="499"/>
      <c r="I272" s="450" t="s">
        <v>233</v>
      </c>
      <c r="J272" s="484"/>
      <c r="K272" s="484"/>
      <c r="L272" s="484"/>
      <c r="M272" s="484"/>
      <c r="N272" s="484"/>
      <c r="O272" s="484"/>
      <c r="P272" s="484"/>
      <c r="Q272" s="411"/>
      <c r="R272" s="411"/>
      <c r="S272" s="699"/>
      <c r="T272" s="486"/>
      <c r="U272" s="608"/>
      <c r="V272" s="608"/>
      <c r="W272" s="608"/>
      <c r="X272" s="374">
        <v>0</v>
      </c>
      <c r="Y272" s="22"/>
      <c r="Z272" s="22"/>
      <c r="AF272" s="95"/>
    </row>
    <row r="273" spans="1:32" s="19" customFormat="1" ht="15" customHeight="1">
      <c r="A273" s="1020"/>
      <c r="B273" s="1019"/>
      <c r="C273" s="1022"/>
      <c r="D273" s="1013"/>
      <c r="E273" s="1013"/>
      <c r="F273" s="1024"/>
      <c r="G273" s="1058"/>
      <c r="H273" s="499"/>
      <c r="I273" s="450" t="s">
        <v>18</v>
      </c>
      <c r="J273" s="484"/>
      <c r="K273" s="484"/>
      <c r="L273" s="484"/>
      <c r="M273" s="484"/>
      <c r="N273" s="484"/>
      <c r="O273" s="484"/>
      <c r="P273" s="484"/>
      <c r="Q273" s="411"/>
      <c r="R273" s="411"/>
      <c r="S273" s="699"/>
      <c r="T273" s="486"/>
      <c r="U273" s="608"/>
      <c r="V273" s="608"/>
      <c r="W273" s="608"/>
      <c r="X273" s="374">
        <v>1000000</v>
      </c>
      <c r="Y273" s="22"/>
      <c r="Z273" s="22"/>
      <c r="AF273" s="66"/>
    </row>
    <row r="274" spans="1:32" s="19" customFormat="1" ht="15" customHeight="1">
      <c r="A274" s="1020"/>
      <c r="B274" s="1019"/>
      <c r="C274" s="1022"/>
      <c r="D274" s="1013"/>
      <c r="E274" s="1013"/>
      <c r="F274" s="1024"/>
      <c r="G274" s="1058"/>
      <c r="H274" s="499"/>
      <c r="I274" s="450" t="s">
        <v>90</v>
      </c>
      <c r="J274" s="484"/>
      <c r="K274" s="484"/>
      <c r="L274" s="484"/>
      <c r="M274" s="484"/>
      <c r="N274" s="484"/>
      <c r="O274" s="484"/>
      <c r="P274" s="484"/>
      <c r="Q274" s="411"/>
      <c r="R274" s="411"/>
      <c r="S274" s="699"/>
      <c r="T274" s="486"/>
      <c r="U274" s="608"/>
      <c r="V274" s="608"/>
      <c r="W274" s="608"/>
      <c r="X274" s="374">
        <v>478412</v>
      </c>
      <c r="Y274" s="22"/>
      <c r="Z274" s="22"/>
    </row>
    <row r="275" spans="1:32" s="19" customFormat="1" ht="15" customHeight="1">
      <c r="A275" s="1020"/>
      <c r="B275" s="1019"/>
      <c r="C275" s="1023"/>
      <c r="D275" s="1014"/>
      <c r="E275" s="1014"/>
      <c r="F275" s="1025"/>
      <c r="G275" s="1058"/>
      <c r="H275" s="499"/>
      <c r="I275" s="450" t="s">
        <v>125</v>
      </c>
      <c r="J275" s="484"/>
      <c r="K275" s="484"/>
      <c r="L275" s="484"/>
      <c r="M275" s="484"/>
      <c r="N275" s="484"/>
      <c r="O275" s="484"/>
      <c r="P275" s="484"/>
      <c r="Q275" s="411"/>
      <c r="R275" s="411"/>
      <c r="S275" s="699"/>
      <c r="T275" s="486"/>
      <c r="U275" s="608"/>
      <c r="V275" s="608"/>
      <c r="W275" s="608"/>
      <c r="X275" s="374">
        <v>11360215</v>
      </c>
      <c r="Y275" s="22"/>
      <c r="Z275" s="22"/>
    </row>
    <row r="276" spans="1:32" s="19" customFormat="1" ht="15" hidden="1" customHeight="1">
      <c r="A276" s="1020"/>
      <c r="B276" s="1019"/>
      <c r="C276" s="1022"/>
      <c r="D276" s="1013"/>
      <c r="E276" s="1013"/>
      <c r="F276" s="1024"/>
      <c r="G276" s="1058"/>
      <c r="H276" s="499"/>
      <c r="I276" s="450"/>
      <c r="J276" s="484"/>
      <c r="K276" s="484"/>
      <c r="L276" s="484"/>
      <c r="M276" s="484"/>
      <c r="N276" s="484"/>
      <c r="O276" s="484"/>
      <c r="P276" s="484"/>
      <c r="Q276" s="411"/>
      <c r="R276" s="411"/>
      <c r="S276" s="699"/>
      <c r="T276" s="486"/>
      <c r="U276" s="608"/>
      <c r="V276" s="608"/>
      <c r="W276" s="608"/>
      <c r="X276" s="374">
        <v>0</v>
      </c>
      <c r="Y276" s="22"/>
      <c r="Z276" s="22"/>
    </row>
    <row r="277" spans="1:32" s="19" customFormat="1" ht="15" customHeight="1">
      <c r="A277" s="1020"/>
      <c r="B277" s="1019"/>
      <c r="C277" s="1023"/>
      <c r="D277" s="1014"/>
      <c r="E277" s="1014"/>
      <c r="F277" s="1026"/>
      <c r="G277" s="1058"/>
      <c r="H277" s="499"/>
      <c r="I277" s="450" t="s">
        <v>107</v>
      </c>
      <c r="J277" s="484"/>
      <c r="K277" s="484"/>
      <c r="L277" s="484"/>
      <c r="M277" s="484"/>
      <c r="N277" s="484"/>
      <c r="O277" s="484"/>
      <c r="P277" s="484"/>
      <c r="Q277" s="411"/>
      <c r="R277" s="411"/>
      <c r="S277" s="699"/>
      <c r="T277" s="486"/>
      <c r="U277" s="608"/>
      <c r="V277" s="608"/>
      <c r="W277" s="608"/>
      <c r="X277" s="374">
        <v>1299780</v>
      </c>
      <c r="Y277" s="22"/>
      <c r="Z277" s="22"/>
    </row>
    <row r="278" spans="1:32" s="19" customFormat="1" ht="15" customHeight="1">
      <c r="A278" s="1020"/>
      <c r="B278" s="1019"/>
      <c r="C278" s="1022"/>
      <c r="D278" s="1013"/>
      <c r="E278" s="1013"/>
      <c r="F278" s="1027"/>
      <c r="G278" s="1058"/>
      <c r="H278" s="499"/>
      <c r="I278" s="450" t="s">
        <v>101</v>
      </c>
      <c r="J278" s="484"/>
      <c r="K278" s="484"/>
      <c r="L278" s="484"/>
      <c r="M278" s="484"/>
      <c r="N278" s="484"/>
      <c r="O278" s="484"/>
      <c r="P278" s="484"/>
      <c r="Q278" s="411"/>
      <c r="R278" s="411"/>
      <c r="S278" s="699"/>
      <c r="T278" s="486"/>
      <c r="U278" s="608"/>
      <c r="V278" s="608"/>
      <c r="W278" s="608"/>
      <c r="X278" s="374">
        <v>119910</v>
      </c>
      <c r="Y278" s="22"/>
      <c r="Z278" s="22"/>
    </row>
    <row r="279" spans="1:32" s="19" customFormat="1" ht="15" hidden="1" customHeight="1">
      <c r="A279" s="1020"/>
      <c r="B279" s="1019"/>
      <c r="C279" s="1023"/>
      <c r="D279" s="1014"/>
      <c r="E279" s="1014"/>
      <c r="F279" s="1026"/>
      <c r="G279" s="1058"/>
      <c r="H279" s="499"/>
      <c r="I279" s="484" t="s">
        <v>172</v>
      </c>
      <c r="J279" s="764"/>
      <c r="K279" s="764"/>
      <c r="L279" s="484"/>
      <c r="M279" s="484"/>
      <c r="N279" s="484"/>
      <c r="O279" s="484"/>
      <c r="P279" s="484"/>
      <c r="Q279" s="411"/>
      <c r="R279" s="411"/>
      <c r="S279" s="678"/>
      <c r="T279" s="486"/>
      <c r="U279" s="527"/>
      <c r="V279" s="527"/>
      <c r="W279" s="527"/>
      <c r="X279" s="374">
        <v>0</v>
      </c>
      <c r="Y279" s="22"/>
      <c r="Z279" s="22"/>
    </row>
    <row r="280" spans="1:32" s="19" customFormat="1" ht="15" customHeight="1" thickBot="1">
      <c r="A280" s="1020"/>
      <c r="B280" s="1019"/>
      <c r="C280" s="107"/>
      <c r="D280" s="82"/>
      <c r="E280" s="82"/>
      <c r="F280" s="63"/>
      <c r="G280" s="1057"/>
      <c r="H280" s="765"/>
      <c r="I280" s="766" t="s">
        <v>95</v>
      </c>
      <c r="J280" s="766"/>
      <c r="K280" s="766"/>
      <c r="L280" s="766"/>
      <c r="M280" s="766"/>
      <c r="N280" s="766"/>
      <c r="O280" s="766"/>
      <c r="P280" s="766"/>
      <c r="Q280" s="767"/>
      <c r="R280" s="767"/>
      <c r="S280" s="768"/>
      <c r="T280" s="769"/>
      <c r="U280" s="770"/>
      <c r="V280" s="770"/>
      <c r="W280" s="770"/>
      <c r="X280" s="771">
        <v>3203090</v>
      </c>
      <c r="Y280" s="22"/>
    </row>
    <row r="281" spans="1:32" s="19" customFormat="1" ht="15" customHeight="1">
      <c r="A281" s="1020"/>
      <c r="B281" s="1019"/>
      <c r="C281" s="94" t="s">
        <v>127</v>
      </c>
      <c r="D281" s="46">
        <f>SUM(D282)</f>
        <v>26525</v>
      </c>
      <c r="E281" s="46">
        <f>SUM(E282)</f>
        <v>26525</v>
      </c>
      <c r="F281" s="46">
        <f>F282</f>
        <v>0</v>
      </c>
      <c r="G281" s="247">
        <f>E281/D281</f>
        <v>1</v>
      </c>
      <c r="H281" s="1038">
        <f>ROUND((M281+R281+X281+V281)/1,0)</f>
        <v>26525</v>
      </c>
      <c r="I281" s="1039"/>
      <c r="J281" s="1039"/>
      <c r="K281" s="1039"/>
      <c r="L281" s="1040"/>
      <c r="M281" s="1038">
        <f>R281</f>
        <v>0</v>
      </c>
      <c r="N281" s="1039"/>
      <c r="O281" s="1039"/>
      <c r="P281" s="1039"/>
      <c r="Q281" s="1040"/>
      <c r="R281" s="1038">
        <v>0</v>
      </c>
      <c r="S281" s="1039"/>
      <c r="T281" s="1039"/>
      <c r="U281" s="1040"/>
      <c r="V281" s="648">
        <v>0</v>
      </c>
      <c r="W281" s="649">
        <v>0</v>
      </c>
      <c r="X281" s="371">
        <f>(X282)/1000</f>
        <v>26525</v>
      </c>
      <c r="Z281" s="22"/>
    </row>
    <row r="282" spans="1:32" s="19" customFormat="1" ht="15" customHeight="1">
      <c r="A282" s="1020"/>
      <c r="B282" s="1019"/>
      <c r="C282" s="293" t="s">
        <v>155</v>
      </c>
      <c r="D282" s="291">
        <f>26525000/1000</f>
        <v>26525</v>
      </c>
      <c r="E282" s="290">
        <f>X283/1000</f>
        <v>26525</v>
      </c>
      <c r="F282" s="295">
        <f>E282-D282</f>
        <v>0</v>
      </c>
      <c r="G282" s="1056">
        <f>E282/D282</f>
        <v>1</v>
      </c>
      <c r="H282" s="438"/>
      <c r="I282" s="700" t="s">
        <v>155</v>
      </c>
      <c r="J282" s="701"/>
      <c r="K282" s="702"/>
      <c r="L282" s="702"/>
      <c r="M282" s="702"/>
      <c r="N282" s="702"/>
      <c r="O282" s="702"/>
      <c r="P282" s="702"/>
      <c r="Q282" s="703"/>
      <c r="R282" s="703"/>
      <c r="S282" s="704"/>
      <c r="T282" s="705"/>
      <c r="U282" s="444"/>
      <c r="V282" s="444"/>
      <c r="W282" s="444" t="s">
        <v>50</v>
      </c>
      <c r="X282" s="404">
        <f>SUM(X283)</f>
        <v>26525000</v>
      </c>
      <c r="Y282" s="22"/>
      <c r="Z282" s="22"/>
    </row>
    <row r="283" spans="1:32" s="285" customFormat="1" ht="15" customHeight="1" thickBot="1">
      <c r="A283" s="1021"/>
      <c r="B283" s="1019"/>
      <c r="C283" s="281"/>
      <c r="D283" s="282"/>
      <c r="E283" s="282"/>
      <c r="F283" s="283"/>
      <c r="G283" s="1057"/>
      <c r="H283" s="499"/>
      <c r="I283" s="702" t="s">
        <v>19</v>
      </c>
      <c r="J283" s="702"/>
      <c r="K283" s="702"/>
      <c r="L283" s="702"/>
      <c r="M283" s="702"/>
      <c r="N283" s="702"/>
      <c r="O283" s="702"/>
      <c r="P283" s="702"/>
      <c r="Q283" s="703"/>
      <c r="R283" s="703"/>
      <c r="S283" s="706"/>
      <c r="T283" s="705"/>
      <c r="U283" s="707"/>
      <c r="V283" s="707"/>
      <c r="W283" s="707"/>
      <c r="X283" s="405">
        <v>26525000</v>
      </c>
      <c r="Y283" s="284"/>
      <c r="Z283" s="284"/>
    </row>
    <row r="284" spans="1:32" s="19" customFormat="1" ht="15" hidden="1" customHeight="1">
      <c r="A284" s="77" t="s">
        <v>66</v>
      </c>
      <c r="B284" s="78"/>
      <c r="C284" s="78" t="s">
        <v>50</v>
      </c>
      <c r="D284" s="43">
        <f>SUM(D285)</f>
        <v>0</v>
      </c>
      <c r="E284" s="43">
        <f>SUM(E285)</f>
        <v>0</v>
      </c>
      <c r="F284" s="43">
        <f>SUM(F285)</f>
        <v>0</v>
      </c>
      <c r="G284" s="248"/>
      <c r="H284" s="1035">
        <f>SUM(N284:X284)</f>
        <v>0</v>
      </c>
      <c r="I284" s="1036"/>
      <c r="J284" s="1036"/>
      <c r="K284" s="1036"/>
      <c r="L284" s="1037"/>
      <c r="M284" s="1076">
        <v>0</v>
      </c>
      <c r="N284" s="1076"/>
      <c r="O284" s="1076"/>
      <c r="P284" s="1076"/>
      <c r="Q284" s="1076"/>
      <c r="R284" s="1076">
        <v>0</v>
      </c>
      <c r="S284" s="1076"/>
      <c r="T284" s="1076"/>
      <c r="U284" s="1076"/>
      <c r="V284" s="709"/>
      <c r="W284" s="710"/>
      <c r="X284" s="407">
        <f>X285</f>
        <v>0</v>
      </c>
    </row>
    <row r="285" spans="1:32" s="19" customFormat="1" ht="15" hidden="1" customHeight="1">
      <c r="A285" s="28"/>
      <c r="B285" s="296" t="s">
        <v>66</v>
      </c>
      <c r="C285" s="45" t="s">
        <v>127</v>
      </c>
      <c r="D285" s="49">
        <f>SUM(D286)</f>
        <v>0</v>
      </c>
      <c r="E285" s="49">
        <f>SUM(E286)</f>
        <v>0</v>
      </c>
      <c r="F285" s="46">
        <f>+E285-D285</f>
        <v>0</v>
      </c>
      <c r="G285" s="249"/>
      <c r="H285" s="1040">
        <f>SUM(M285:X285)</f>
        <v>0</v>
      </c>
      <c r="I285" s="1077"/>
      <c r="J285" s="1077"/>
      <c r="K285" s="1077"/>
      <c r="L285" s="1077"/>
      <c r="M285" s="1077">
        <v>0</v>
      </c>
      <c r="N285" s="1077"/>
      <c r="O285" s="1077"/>
      <c r="P285" s="1077"/>
      <c r="Q285" s="1077"/>
      <c r="R285" s="1077">
        <v>0</v>
      </c>
      <c r="S285" s="1077"/>
      <c r="T285" s="1077"/>
      <c r="U285" s="1077"/>
      <c r="V285" s="437"/>
      <c r="W285" s="649"/>
      <c r="X285" s="396">
        <f>X286/1000</f>
        <v>0</v>
      </c>
    </row>
    <row r="286" spans="1:32" s="19" customFormat="1" ht="15" hidden="1" customHeight="1" thickBot="1">
      <c r="A286" s="28"/>
      <c r="B286" s="365"/>
      <c r="C286" s="362" t="s">
        <v>66</v>
      </c>
      <c r="D286" s="363">
        <v>0</v>
      </c>
      <c r="E286" s="363">
        <f>X286/1000</f>
        <v>0</v>
      </c>
      <c r="F286" s="364">
        <f>+E286-D286</f>
        <v>0</v>
      </c>
      <c r="G286" s="367"/>
      <c r="H286" s="499"/>
      <c r="I286" s="711" t="s">
        <v>66</v>
      </c>
      <c r="J286" s="712"/>
      <c r="K286" s="712"/>
      <c r="L286" s="712"/>
      <c r="M286" s="712"/>
      <c r="N286" s="712"/>
      <c r="O286" s="712"/>
      <c r="P286" s="712"/>
      <c r="Q286" s="660"/>
      <c r="R286" s="660"/>
      <c r="S286" s="713"/>
      <c r="T286" s="713"/>
      <c r="U286" s="713"/>
      <c r="V286" s="713"/>
      <c r="W286" s="713"/>
      <c r="X286" s="374">
        <v>0</v>
      </c>
    </row>
    <row r="287" spans="1:32" s="19" customFormat="1" ht="15" customHeight="1">
      <c r="A287" s="983" t="s">
        <v>32</v>
      </c>
      <c r="B287" s="78"/>
      <c r="C287" s="78" t="s">
        <v>50</v>
      </c>
      <c r="D287" s="43">
        <f>SUM(D288)</f>
        <v>492.529</v>
      </c>
      <c r="E287" s="43">
        <f>SUM(E288)</f>
        <v>6282.5290000000005</v>
      </c>
      <c r="F287" s="43">
        <f>E287-D287</f>
        <v>5790</v>
      </c>
      <c r="G287" s="248" t="s">
        <v>261</v>
      </c>
      <c r="H287" s="1035">
        <f>SUM(M287:X287)</f>
        <v>6283.4450000000006</v>
      </c>
      <c r="I287" s="1036"/>
      <c r="J287" s="1036"/>
      <c r="K287" s="1036"/>
      <c r="L287" s="1037"/>
      <c r="M287" s="714"/>
      <c r="N287" s="714"/>
      <c r="O287" s="714"/>
      <c r="P287" s="714"/>
      <c r="Q287" s="715">
        <f>M288</f>
        <v>992.44749999999999</v>
      </c>
      <c r="R287" s="1076">
        <f>R288</f>
        <v>4790.4475000000002</v>
      </c>
      <c r="S287" s="1076"/>
      <c r="T287" s="1076"/>
      <c r="U287" s="1076"/>
      <c r="V287" s="709"/>
      <c r="W287" s="647"/>
      <c r="X287" s="407">
        <f>X288</f>
        <v>500.55</v>
      </c>
    </row>
    <row r="288" spans="1:32" s="19" customFormat="1" ht="15" customHeight="1">
      <c r="A288" s="984"/>
      <c r="B288" s="986" t="s">
        <v>32</v>
      </c>
      <c r="C288" s="94" t="s">
        <v>127</v>
      </c>
      <c r="D288" s="46">
        <f>SUM(D289)</f>
        <v>492.529</v>
      </c>
      <c r="E288" s="46">
        <f>E289</f>
        <v>6282.5290000000005</v>
      </c>
      <c r="F288" s="46">
        <f>+E288-D288</f>
        <v>5790</v>
      </c>
      <c r="G288" s="249" t="s">
        <v>262</v>
      </c>
      <c r="H288" s="1078">
        <f>SUM(M288:X288)</f>
        <v>6283.4450000000006</v>
      </c>
      <c r="I288" s="1041"/>
      <c r="J288" s="1041"/>
      <c r="K288" s="1041"/>
      <c r="L288" s="1041"/>
      <c r="M288" s="1041">
        <f>1984895/1000/2</f>
        <v>992.44749999999999</v>
      </c>
      <c r="N288" s="1041"/>
      <c r="O288" s="1041"/>
      <c r="P288" s="1041"/>
      <c r="Q288" s="1041"/>
      <c r="R288" s="1041">
        <f>ROUNDUP((385734+126080+3285270)/1000,0)+(1984895/1000)/2</f>
        <v>4790.4475000000002</v>
      </c>
      <c r="S288" s="1041"/>
      <c r="T288" s="1041"/>
      <c r="U288" s="1041"/>
      <c r="V288" s="597"/>
      <c r="W288" s="716"/>
      <c r="X288" s="408">
        <f>X290/1000+(18021/1000)</f>
        <v>500.55</v>
      </c>
    </row>
    <row r="289" spans="1:24" s="19" customFormat="1" ht="15" customHeight="1">
      <c r="A289" s="984"/>
      <c r="B289" s="987"/>
      <c r="C289" s="992" t="s">
        <v>55</v>
      </c>
      <c r="D289" s="989">
        <f>492529/1000</f>
        <v>492.529</v>
      </c>
      <c r="E289" s="989">
        <f>X289/1000</f>
        <v>6282.5290000000005</v>
      </c>
      <c r="F289" s="989">
        <f>+E289-D289</f>
        <v>5790</v>
      </c>
      <c r="G289" s="995" t="s">
        <v>262</v>
      </c>
      <c r="H289" s="717"/>
      <c r="I289" s="600" t="s">
        <v>64</v>
      </c>
      <c r="J289" s="601"/>
      <c r="K289" s="601"/>
      <c r="L289" s="601"/>
      <c r="M289" s="601"/>
      <c r="N289" s="601"/>
      <c r="O289" s="601"/>
      <c r="P289" s="601"/>
      <c r="Q289" s="602"/>
      <c r="R289" s="602"/>
      <c r="S289" s="718"/>
      <c r="T289" s="718"/>
      <c r="U289" s="718"/>
      <c r="V289" s="718"/>
      <c r="W289" s="718"/>
      <c r="X289" s="415">
        <f>SUM(X290:X291)</f>
        <v>6282529</v>
      </c>
    </row>
    <row r="290" spans="1:24" s="19" customFormat="1" ht="15" customHeight="1">
      <c r="A290" s="984"/>
      <c r="B290" s="987"/>
      <c r="C290" s="993"/>
      <c r="D290" s="990"/>
      <c r="E290" s="990"/>
      <c r="F290" s="990"/>
      <c r="G290" s="996"/>
      <c r="H290" s="719"/>
      <c r="I290" s="484" t="s">
        <v>381</v>
      </c>
      <c r="J290" s="484"/>
      <c r="K290" s="484"/>
      <c r="L290" s="484"/>
      <c r="M290" s="484"/>
      <c r="N290" s="484"/>
      <c r="O290" s="484"/>
      <c r="P290" s="484"/>
      <c r="Q290" s="411"/>
      <c r="R290" s="411"/>
      <c r="S290" s="485"/>
      <c r="T290" s="485"/>
      <c r="U290" s="485"/>
      <c r="V290" s="485"/>
      <c r="W290" s="485"/>
      <c r="X290" s="409">
        <v>482529</v>
      </c>
    </row>
    <row r="291" spans="1:24" s="19" customFormat="1" ht="15" customHeight="1" thickBot="1">
      <c r="A291" s="985"/>
      <c r="B291" s="988"/>
      <c r="C291" s="994"/>
      <c r="D291" s="991"/>
      <c r="E291" s="991"/>
      <c r="F291" s="991"/>
      <c r="G291" s="997"/>
      <c r="H291" s="720"/>
      <c r="I291" s="721" t="s">
        <v>382</v>
      </c>
      <c r="J291" s="721"/>
      <c r="K291" s="721"/>
      <c r="L291" s="721"/>
      <c r="M291" s="721"/>
      <c r="N291" s="721"/>
      <c r="O291" s="721"/>
      <c r="P291" s="721"/>
      <c r="Q291" s="722"/>
      <c r="R291" s="722"/>
      <c r="S291" s="723"/>
      <c r="T291" s="723"/>
      <c r="U291" s="723"/>
      <c r="V291" s="723"/>
      <c r="W291" s="723"/>
      <c r="X291" s="410">
        <v>5800000</v>
      </c>
    </row>
    <row r="292" spans="1:24" s="19" customFormat="1" ht="15" customHeight="1">
      <c r="A292" s="92"/>
      <c r="B292" s="92"/>
      <c r="C292" s="93"/>
      <c r="D292" s="33"/>
      <c r="E292" s="33"/>
      <c r="F292" s="33"/>
      <c r="G292" s="40"/>
      <c r="H292" s="677"/>
      <c r="I292" s="484"/>
      <c r="J292" s="484"/>
      <c r="K292" s="484"/>
      <c r="L292" s="484"/>
      <c r="M292" s="484"/>
      <c r="N292" s="484"/>
      <c r="O292" s="484"/>
      <c r="P292" s="484"/>
      <c r="Q292" s="411"/>
      <c r="R292" s="411"/>
      <c r="S292" s="485"/>
      <c r="T292" s="485"/>
      <c r="U292" s="485"/>
      <c r="V292" s="485"/>
      <c r="W292" s="485"/>
      <c r="X292" s="411"/>
    </row>
    <row r="293" spans="1:24" s="19" customFormat="1" ht="15" customHeight="1">
      <c r="A293" s="22"/>
      <c r="B293" s="22"/>
      <c r="C293" s="22"/>
      <c r="D293" s="40"/>
      <c r="E293" s="22"/>
      <c r="F293" s="33"/>
      <c r="G293" s="40"/>
      <c r="H293" s="724"/>
      <c r="I293" s="725"/>
      <c r="J293" s="725"/>
      <c r="K293" s="725"/>
      <c r="L293" s="725"/>
      <c r="M293" s="725"/>
      <c r="N293" s="725"/>
      <c r="O293" s="725"/>
      <c r="P293" s="725"/>
      <c r="Q293" s="726"/>
      <c r="R293" s="726"/>
      <c r="S293" s="725"/>
      <c r="T293" s="725"/>
      <c r="U293" s="725"/>
      <c r="V293" s="725"/>
      <c r="W293" s="725"/>
      <c r="X293" s="412"/>
    </row>
    <row r="294" spans="1:24" ht="15" customHeight="1">
      <c r="A294" s="37"/>
      <c r="D294" s="41"/>
      <c r="F294" s="64"/>
      <c r="G294" s="64"/>
      <c r="H294" s="727"/>
      <c r="X294" s="413"/>
    </row>
    <row r="295" spans="1:24" ht="15" customHeight="1">
      <c r="A295" s="37"/>
      <c r="D295" s="41"/>
      <c r="F295" s="64"/>
      <c r="G295" s="64"/>
      <c r="H295" s="727"/>
      <c r="X295" s="413"/>
    </row>
    <row r="296" spans="1:24" ht="15" customHeight="1">
      <c r="A296" s="37"/>
      <c r="D296" s="41"/>
      <c r="F296" s="64"/>
      <c r="G296" s="64"/>
      <c r="H296" s="727"/>
      <c r="X296" s="413"/>
    </row>
  </sheetData>
  <autoFilter ref="A4:X289">
    <filterColumn colId="0" showButton="0"/>
    <filterColumn colId="1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187">
    <mergeCell ref="F99:F107"/>
    <mergeCell ref="E99:E107"/>
    <mergeCell ref="D99:D107"/>
    <mergeCell ref="C99:C107"/>
    <mergeCell ref="G45:G98"/>
    <mergeCell ref="H125:L125"/>
    <mergeCell ref="M125:Q125"/>
    <mergeCell ref="R125:U125"/>
    <mergeCell ref="R5:U5"/>
    <mergeCell ref="C9:C38"/>
    <mergeCell ref="D9:D38"/>
    <mergeCell ref="F9:F38"/>
    <mergeCell ref="C108:C114"/>
    <mergeCell ref="C117:C123"/>
    <mergeCell ref="E9:E38"/>
    <mergeCell ref="G4:G5"/>
    <mergeCell ref="G9:G44"/>
    <mergeCell ref="G108:G116"/>
    <mergeCell ref="F108:F116"/>
    <mergeCell ref="E108:E116"/>
    <mergeCell ref="D108:D116"/>
    <mergeCell ref="F117:F124"/>
    <mergeCell ref="E117:E124"/>
    <mergeCell ref="D117:D124"/>
    <mergeCell ref="C45:C98"/>
    <mergeCell ref="D45:D98"/>
    <mergeCell ref="E45:E98"/>
    <mergeCell ref="F45:F98"/>
    <mergeCell ref="R7:U7"/>
    <mergeCell ref="T2:X2"/>
    <mergeCell ref="A3:C3"/>
    <mergeCell ref="H3:X3"/>
    <mergeCell ref="H4:X4"/>
    <mergeCell ref="H8:L8"/>
    <mergeCell ref="M8:Q8"/>
    <mergeCell ref="R8:U8"/>
    <mergeCell ref="A6:C6"/>
    <mergeCell ref="H6:L6"/>
    <mergeCell ref="M6:Q6"/>
    <mergeCell ref="R6:U6"/>
    <mergeCell ref="H7:L7"/>
    <mergeCell ref="M7:Q7"/>
    <mergeCell ref="A4:C4"/>
    <mergeCell ref="H5:L5"/>
    <mergeCell ref="M5:Q5"/>
    <mergeCell ref="F4:F5"/>
    <mergeCell ref="E4:E5"/>
    <mergeCell ref="D4:D5"/>
    <mergeCell ref="A206:A209"/>
    <mergeCell ref="B206:B209"/>
    <mergeCell ref="E206:E209"/>
    <mergeCell ref="C201:C202"/>
    <mergeCell ref="F201:F202"/>
    <mergeCell ref="D201:D202"/>
    <mergeCell ref="C203:C205"/>
    <mergeCell ref="F203:F205"/>
    <mergeCell ref="A199:A202"/>
    <mergeCell ref="B200:B202"/>
    <mergeCell ref="A203:A205"/>
    <mergeCell ref="B203:B205"/>
    <mergeCell ref="F243:F252"/>
    <mergeCell ref="E187:E191"/>
    <mergeCell ref="E182:E186"/>
    <mergeCell ref="D203:D205"/>
    <mergeCell ref="C192:C198"/>
    <mergeCell ref="D192:D198"/>
    <mergeCell ref="F192:F198"/>
    <mergeCell ref="F221:F241"/>
    <mergeCell ref="C206:C209"/>
    <mergeCell ref="F206:F209"/>
    <mergeCell ref="D206:D209"/>
    <mergeCell ref="D182:D186"/>
    <mergeCell ref="F182:F186"/>
    <mergeCell ref="C187:C191"/>
    <mergeCell ref="D187:D191"/>
    <mergeCell ref="F187:F191"/>
    <mergeCell ref="C182:C186"/>
    <mergeCell ref="E192:E198"/>
    <mergeCell ref="M288:Q288"/>
    <mergeCell ref="R288:U288"/>
    <mergeCell ref="H287:L287"/>
    <mergeCell ref="H220:L220"/>
    <mergeCell ref="M220:Q220"/>
    <mergeCell ref="R220:U220"/>
    <mergeCell ref="H242:L242"/>
    <mergeCell ref="M242:Q242"/>
    <mergeCell ref="H281:L281"/>
    <mergeCell ref="R284:U284"/>
    <mergeCell ref="H285:L285"/>
    <mergeCell ref="M285:Q285"/>
    <mergeCell ref="R285:U285"/>
    <mergeCell ref="H284:L284"/>
    <mergeCell ref="M284:Q284"/>
    <mergeCell ref="M281:Q281"/>
    <mergeCell ref="R281:U281"/>
    <mergeCell ref="R242:U242"/>
    <mergeCell ref="H253:L253"/>
    <mergeCell ref="M253:Q253"/>
    <mergeCell ref="R253:U253"/>
    <mergeCell ref="R287:U287"/>
    <mergeCell ref="H288:L288"/>
    <mergeCell ref="H210:L210"/>
    <mergeCell ref="M210:Q210"/>
    <mergeCell ref="C138:C155"/>
    <mergeCell ref="D138:D155"/>
    <mergeCell ref="E138:E155"/>
    <mergeCell ref="F138:F155"/>
    <mergeCell ref="C166:C181"/>
    <mergeCell ref="D166:D181"/>
    <mergeCell ref="E166:E181"/>
    <mergeCell ref="F166:F181"/>
    <mergeCell ref="E201:E202"/>
    <mergeCell ref="E203:E205"/>
    <mergeCell ref="F156:F165"/>
    <mergeCell ref="E156:E165"/>
    <mergeCell ref="R210:U210"/>
    <mergeCell ref="M211:Q211"/>
    <mergeCell ref="AH1:AI1"/>
    <mergeCell ref="G99:G107"/>
    <mergeCell ref="G282:G283"/>
    <mergeCell ref="G254:G280"/>
    <mergeCell ref="G243:G252"/>
    <mergeCell ref="G221:G241"/>
    <mergeCell ref="G117:G124"/>
    <mergeCell ref="G156:G165"/>
    <mergeCell ref="G138:G155"/>
    <mergeCell ref="G130:G136"/>
    <mergeCell ref="G126:G129"/>
    <mergeCell ref="G187:G191"/>
    <mergeCell ref="G182:G186"/>
    <mergeCell ref="G166:G181"/>
    <mergeCell ref="G192:G198"/>
    <mergeCell ref="G206:G209"/>
    <mergeCell ref="G203:G205"/>
    <mergeCell ref="G201:G202"/>
    <mergeCell ref="H211:L211"/>
    <mergeCell ref="R211:U211"/>
    <mergeCell ref="M137:Q137"/>
    <mergeCell ref="R137:U137"/>
    <mergeCell ref="Z1:AA1"/>
    <mergeCell ref="Z28:AA28"/>
    <mergeCell ref="AD1:AE1"/>
    <mergeCell ref="D156:D165"/>
    <mergeCell ref="C156:C165"/>
    <mergeCell ref="M199:Q199"/>
    <mergeCell ref="R199:U199"/>
    <mergeCell ref="H200:L200"/>
    <mergeCell ref="M200:Q200"/>
    <mergeCell ref="R200:U200"/>
    <mergeCell ref="H199:L199"/>
    <mergeCell ref="H137:L137"/>
    <mergeCell ref="E130:E136"/>
    <mergeCell ref="D126:D129"/>
    <mergeCell ref="F126:F129"/>
    <mergeCell ref="D130:D136"/>
    <mergeCell ref="F130:F136"/>
    <mergeCell ref="E126:E129"/>
    <mergeCell ref="C126:C129"/>
    <mergeCell ref="C130:C136"/>
    <mergeCell ref="A1:X1"/>
    <mergeCell ref="H2:K2"/>
    <mergeCell ref="L2:P2"/>
    <mergeCell ref="Q2:S2"/>
    <mergeCell ref="A287:A291"/>
    <mergeCell ref="B288:B291"/>
    <mergeCell ref="E289:E291"/>
    <mergeCell ref="D289:D291"/>
    <mergeCell ref="C289:C291"/>
    <mergeCell ref="G289:G291"/>
    <mergeCell ref="F289:F291"/>
    <mergeCell ref="G212:G219"/>
    <mergeCell ref="F212:F219"/>
    <mergeCell ref="E212:E219"/>
    <mergeCell ref="D212:D219"/>
    <mergeCell ref="C212:C219"/>
    <mergeCell ref="E254:E279"/>
    <mergeCell ref="E221:E241"/>
    <mergeCell ref="E243:E252"/>
    <mergeCell ref="B211:B283"/>
    <mergeCell ref="A210:A283"/>
    <mergeCell ref="C254:C279"/>
    <mergeCell ref="D254:D279"/>
    <mergeCell ref="F254:F279"/>
    <mergeCell ref="C221:C241"/>
    <mergeCell ref="D221:D241"/>
    <mergeCell ref="C243:C252"/>
    <mergeCell ref="D243:D252"/>
  </mergeCells>
  <phoneticPr fontId="20" type="noConversion"/>
  <conditionalFormatting sqref="D3 F3:G3 H2:X2">
    <cfRule type="cellIs" dxfId="0" priority="1" stopIfTrue="1" operator="equal">
      <formula>"="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1" fitToWidth="2" fitToHeight="2" orientation="portrait" r:id="rId1"/>
  <rowBreaks count="2" manualBreakCount="2">
    <brk id="124" max="16383" man="1"/>
    <brk id="20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440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7</vt:i4>
      </vt:variant>
    </vt:vector>
  </HeadingPairs>
  <TitlesOfParts>
    <vt:vector size="11" baseType="lpstr">
      <vt:lpstr>총칙</vt:lpstr>
      <vt:lpstr>총괄</vt:lpstr>
      <vt:lpstr>세입</vt:lpstr>
      <vt:lpstr>세출</vt:lpstr>
      <vt:lpstr>세입!Print_Area</vt:lpstr>
      <vt:lpstr>세출!Print_Area</vt:lpstr>
      <vt:lpstr>총괄!Print_Area</vt:lpstr>
      <vt:lpstr>총칙!Print_Area</vt:lpstr>
      <vt:lpstr>세입!Print_Titles</vt:lpstr>
      <vt:lpstr>세출!Print_Titles</vt:lpstr>
      <vt:lpstr>총괄!Print_Titles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revision>234</cp:revision>
  <cp:lastPrinted>2022-09-16T00:09:10Z</cp:lastPrinted>
  <dcterms:created xsi:type="dcterms:W3CDTF">2019-03-06T01:57:29Z</dcterms:created>
  <dcterms:modified xsi:type="dcterms:W3CDTF">2023-12-26T07:43:25Z</dcterms:modified>
  <cp:version>0906.0200.01</cp:version>
</cp:coreProperties>
</file>